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eydldcolleges-my.sharepoint.com/personal/james_kidd_dld_org/Documents/Personal/SSAA items/2025 items/CE Open/"/>
    </mc:Choice>
  </mc:AlternateContent>
  <xr:revisionPtr revIDLastSave="4" documentId="8_{EB1922BB-1D6B-45B8-9A3E-3EDF1D1620F1}" xr6:coauthVersionLast="47" xr6:coauthVersionMax="47" xr10:uidLastSave="{DC1A2CE8-AB5E-489B-B7B9-BCBC30498748}"/>
  <bookViews>
    <workbookView xWindow="-98" yWindow="-98" windowWidth="21795" windowHeight="13875" firstSheet="1" activeTab="3" xr2:uid="{7A9185F1-D130-469E-AA9C-D8A7110FCBEA}"/>
  </bookViews>
  <sheets>
    <sheet name="U17 Boys" sheetId="1" r:id="rId1"/>
    <sheet name="U15 Boys" sheetId="2" r:id="rId2"/>
    <sheet name="U13 Boys" sheetId="5" r:id="rId3"/>
    <sheet name="U17 Girls" sheetId="6" r:id="rId4"/>
    <sheet name="U15 Girls" sheetId="7" r:id="rId5"/>
    <sheet name="U13 Girl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7" l="1"/>
  <c r="N14" i="7" s="1"/>
  <c r="E3" i="7"/>
  <c r="E15" i="2"/>
  <c r="G15" i="2"/>
  <c r="I15" i="2"/>
  <c r="K15" i="2"/>
  <c r="M15" i="2"/>
  <c r="E14" i="2"/>
  <c r="G14" i="2"/>
  <c r="I14" i="2"/>
  <c r="K14" i="2"/>
  <c r="M14" i="2"/>
  <c r="M3" i="1"/>
  <c r="I3" i="1"/>
  <c r="I7" i="1"/>
  <c r="E7" i="5"/>
  <c r="G7" i="5"/>
  <c r="I7" i="5"/>
  <c r="E2" i="5"/>
  <c r="G2" i="5"/>
  <c r="I2" i="5"/>
  <c r="E6" i="5"/>
  <c r="G6" i="5"/>
  <c r="I6" i="5"/>
  <c r="E3" i="5"/>
  <c r="G3" i="5"/>
  <c r="I3" i="5"/>
  <c r="E9" i="5"/>
  <c r="I9" i="5"/>
  <c r="E8" i="5"/>
  <c r="G8" i="5"/>
  <c r="I8" i="5"/>
  <c r="E6" i="7"/>
  <c r="E9" i="7"/>
  <c r="E7" i="7"/>
  <c r="E4" i="7"/>
  <c r="E10" i="7"/>
  <c r="E2" i="7"/>
  <c r="N2" i="7" s="1"/>
  <c r="E12" i="7"/>
  <c r="N12" i="7" s="1"/>
  <c r="E12" i="2"/>
  <c r="G12" i="2"/>
  <c r="I12" i="2"/>
  <c r="K12" i="2"/>
  <c r="M12" i="2"/>
  <c r="E5" i="2"/>
  <c r="G5" i="2"/>
  <c r="I5" i="2"/>
  <c r="K5" i="2"/>
  <c r="M5" i="2"/>
  <c r="E2" i="8"/>
  <c r="E4" i="8"/>
  <c r="E3" i="8"/>
  <c r="N15" i="2" l="1"/>
  <c r="N14" i="2"/>
  <c r="L2" i="5"/>
  <c r="L3" i="5"/>
  <c r="L6" i="5"/>
  <c r="L7" i="5"/>
  <c r="L9" i="5"/>
  <c r="L8" i="5"/>
  <c r="N5" i="2"/>
  <c r="N12" i="2"/>
  <c r="M6" i="1"/>
  <c r="M5" i="1"/>
  <c r="M4" i="1"/>
  <c r="M7" i="1"/>
  <c r="M2" i="1"/>
  <c r="E13" i="7"/>
  <c r="E5" i="7"/>
  <c r="E8" i="7"/>
  <c r="E11" i="7"/>
  <c r="G5" i="6"/>
  <c r="G4" i="6"/>
  <c r="G2" i="6"/>
  <c r="G3" i="6"/>
  <c r="E5" i="6"/>
  <c r="E4" i="6"/>
  <c r="E2" i="6"/>
  <c r="E3" i="6"/>
  <c r="K5" i="6"/>
  <c r="K4" i="6"/>
  <c r="K2" i="6"/>
  <c r="K3" i="6"/>
  <c r="I5" i="6"/>
  <c r="I4" i="6"/>
  <c r="I2" i="6"/>
  <c r="I3" i="6"/>
  <c r="M5" i="6"/>
  <c r="M4" i="6"/>
  <c r="M2" i="6"/>
  <c r="M3" i="6"/>
  <c r="M3" i="2"/>
  <c r="M7" i="2"/>
  <c r="M11" i="2"/>
  <c r="M8" i="2"/>
  <c r="M6" i="2"/>
  <c r="M10" i="2"/>
  <c r="M13" i="2"/>
  <c r="M4" i="2"/>
  <c r="M2" i="2"/>
  <c r="M9" i="2"/>
  <c r="K3" i="2"/>
  <c r="K7" i="2"/>
  <c r="K11" i="2"/>
  <c r="K8" i="2"/>
  <c r="K6" i="2"/>
  <c r="K10" i="2"/>
  <c r="K13" i="2"/>
  <c r="K4" i="2"/>
  <c r="K2" i="2"/>
  <c r="K9" i="2"/>
  <c r="I3" i="2"/>
  <c r="I7" i="2"/>
  <c r="I11" i="2"/>
  <c r="I8" i="2"/>
  <c r="I6" i="2"/>
  <c r="I10" i="2"/>
  <c r="I13" i="2"/>
  <c r="I16" i="2"/>
  <c r="I4" i="2"/>
  <c r="I2" i="2"/>
  <c r="I9" i="2"/>
  <c r="G3" i="2"/>
  <c r="G7" i="2"/>
  <c r="G11" i="2"/>
  <c r="G8" i="2"/>
  <c r="G6" i="2"/>
  <c r="G10" i="2"/>
  <c r="G13" i="2"/>
  <c r="G16" i="2"/>
  <c r="G4" i="2"/>
  <c r="G2" i="2"/>
  <c r="G9" i="2"/>
  <c r="E3" i="2"/>
  <c r="E7" i="2"/>
  <c r="E11" i="2"/>
  <c r="E8" i="2"/>
  <c r="E6" i="2"/>
  <c r="E10" i="2"/>
  <c r="E13" i="2"/>
  <c r="E16" i="2"/>
  <c r="E4" i="2"/>
  <c r="E2" i="2"/>
  <c r="E9" i="2"/>
  <c r="I5" i="5"/>
  <c r="I4" i="5"/>
  <c r="I10" i="5"/>
  <c r="G5" i="5"/>
  <c r="G4" i="5"/>
  <c r="G10" i="5"/>
  <c r="E5" i="5"/>
  <c r="E4" i="5"/>
  <c r="E10" i="5"/>
  <c r="I4" i="1"/>
  <c r="I5" i="1"/>
  <c r="I6" i="1"/>
  <c r="G7" i="1"/>
  <c r="G4" i="1"/>
  <c r="G5" i="1"/>
  <c r="G6" i="1"/>
  <c r="G3" i="1"/>
  <c r="E7" i="1"/>
  <c r="E4" i="1"/>
  <c r="E5" i="1"/>
  <c r="E6" i="1"/>
  <c r="E3" i="1"/>
  <c r="E2" i="1"/>
  <c r="I2" i="1"/>
  <c r="G2" i="1"/>
  <c r="L10" i="5" l="1"/>
  <c r="L5" i="5"/>
  <c r="L4" i="5"/>
  <c r="N3" i="1"/>
  <c r="N13" i="7"/>
  <c r="N7" i="1"/>
  <c r="N6" i="1"/>
  <c r="N5" i="1"/>
  <c r="N10" i="2"/>
  <c r="N16" i="2"/>
  <c r="N8" i="2"/>
  <c r="N9" i="7"/>
  <c r="N3" i="2"/>
  <c r="N6" i="2"/>
  <c r="N4" i="1"/>
  <c r="N2" i="1"/>
  <c r="N8" i="7"/>
  <c r="N4" i="7"/>
  <c r="N5" i="7"/>
  <c r="N15" i="7"/>
  <c r="N10" i="7"/>
  <c r="N6" i="7"/>
  <c r="N3" i="7"/>
  <c r="N7" i="7"/>
  <c r="N2" i="2"/>
  <c r="L4" i="8"/>
  <c r="L2" i="8"/>
  <c r="L3" i="8"/>
  <c r="M9" i="5"/>
  <c r="N9" i="2"/>
  <c r="N7" i="2"/>
  <c r="N11" i="7"/>
  <c r="N3" i="6"/>
  <c r="N2" i="6"/>
  <c r="N4" i="6"/>
  <c r="N5" i="6"/>
  <c r="N11" i="2"/>
  <c r="N13" i="2"/>
  <c r="N4" i="2"/>
  <c r="O15" i="2" l="1"/>
  <c r="A11" i="7"/>
  <c r="A7" i="7"/>
  <c r="A5" i="7"/>
  <c r="A15" i="7"/>
  <c r="A3" i="7"/>
  <c r="O12" i="7"/>
  <c r="O2" i="7"/>
  <c r="A12" i="7"/>
  <c r="A2" i="7"/>
  <c r="A14" i="7"/>
  <c r="O14" i="7"/>
  <c r="A6" i="7"/>
  <c r="A4" i="7"/>
  <c r="A9" i="7"/>
  <c r="A10" i="7"/>
  <c r="A8" i="7"/>
  <c r="A13" i="7"/>
  <c r="A12" i="2"/>
  <c r="A8" i="2"/>
  <c r="A4" i="2"/>
  <c r="A9" i="2"/>
  <c r="A3" i="2"/>
  <c r="A14" i="2"/>
  <c r="A15" i="2"/>
  <c r="O14" i="2"/>
  <c r="A2" i="2"/>
  <c r="A13" i="2"/>
  <c r="A10" i="2"/>
  <c r="A7" i="2"/>
  <c r="A6" i="2"/>
  <c r="A5" i="2"/>
  <c r="A11" i="2"/>
  <c r="A16" i="2"/>
  <c r="O4" i="2"/>
  <c r="A4" i="5"/>
  <c r="A9" i="5"/>
  <c r="A3" i="5"/>
  <c r="M3" i="5"/>
  <c r="A6" i="5"/>
  <c r="M6" i="5"/>
  <c r="A7" i="5"/>
  <c r="M7" i="5"/>
  <c r="A2" i="5"/>
  <c r="M2" i="5"/>
  <c r="A5" i="5"/>
  <c r="A10" i="5"/>
  <c r="A8" i="5"/>
  <c r="M8" i="5"/>
  <c r="O2" i="1"/>
  <c r="M10" i="5"/>
  <c r="M4" i="5"/>
  <c r="M3" i="8"/>
  <c r="O11" i="7"/>
  <c r="O13" i="7"/>
  <c r="O10" i="7"/>
  <c r="O5" i="1"/>
  <c r="O6" i="1"/>
  <c r="M5" i="5"/>
  <c r="O8" i="7"/>
  <c r="O7" i="7"/>
  <c r="O15" i="7"/>
  <c r="O3" i="7"/>
  <c r="O5" i="7"/>
  <c r="O6" i="7"/>
  <c r="O4" i="7"/>
  <c r="O9" i="7"/>
  <c r="M2" i="8"/>
  <c r="M4" i="8"/>
  <c r="O7" i="2"/>
  <c r="O8" i="2"/>
  <c r="O11" i="2"/>
  <c r="O16" i="2"/>
  <c r="O5" i="2"/>
  <c r="O2" i="2"/>
  <c r="O13" i="2"/>
  <c r="O6" i="2"/>
  <c r="O9" i="2"/>
  <c r="O3" i="2"/>
  <c r="O10" i="2"/>
  <c r="O12" i="2"/>
  <c r="O4" i="1"/>
  <c r="A3" i="1"/>
  <c r="O3" i="1"/>
  <c r="O7" i="1"/>
  <c r="A2" i="1"/>
  <c r="A4" i="1"/>
  <c r="A5" i="1"/>
  <c r="A6" i="1"/>
  <c r="A7" i="1"/>
  <c r="A2" i="8"/>
  <c r="A4" i="8"/>
  <c r="A3" i="8"/>
  <c r="A5" i="6"/>
  <c r="A2" i="6"/>
  <c r="A4" i="6"/>
  <c r="A3" i="6"/>
  <c r="O3" i="6"/>
  <c r="O5" i="6"/>
  <c r="O2" i="6"/>
  <c r="O4" i="6"/>
</calcChain>
</file>

<file path=xl/sharedStrings.xml><?xml version="1.0" encoding="utf-8"?>
<sst xmlns="http://schemas.openxmlformats.org/spreadsheetml/2006/main" count="146" uniqueCount="66">
  <si>
    <t>Hurdles</t>
  </si>
  <si>
    <t>800m</t>
  </si>
  <si>
    <t>Long</t>
  </si>
  <si>
    <t>High</t>
  </si>
  <si>
    <t>Shot</t>
  </si>
  <si>
    <t>1500m</t>
  </si>
  <si>
    <t>Javelin</t>
  </si>
  <si>
    <t>Points</t>
  </si>
  <si>
    <t>TOTAL</t>
  </si>
  <si>
    <t>RANK</t>
  </si>
  <si>
    <t>Name</t>
  </si>
  <si>
    <t>Difference to leader</t>
  </si>
  <si>
    <t>Number</t>
  </si>
  <si>
    <t>Axel Ottosson</t>
  </si>
  <si>
    <t>Keira Oxley</t>
  </si>
  <si>
    <t>Jack Staples</t>
  </si>
  <si>
    <t>Max Orchard</t>
  </si>
  <si>
    <t>Alexandra Koloutsos</t>
  </si>
  <si>
    <t>Isla Oxley</t>
  </si>
  <si>
    <t>Abigail Scragg</t>
  </si>
  <si>
    <t>Emma Jinks</t>
  </si>
  <si>
    <t>Florence Matten</t>
  </si>
  <si>
    <t>Skye Widdows</t>
  </si>
  <si>
    <t>Sunshine Love</t>
  </si>
  <si>
    <t>Hayden Tan</t>
  </si>
  <si>
    <t>Isaac Machin</t>
  </si>
  <si>
    <t>Rainbow Love</t>
  </si>
  <si>
    <t>Anna Duncan</t>
  </si>
  <si>
    <t>Seren Rowe</t>
  </si>
  <si>
    <t>Alexander Giles</t>
  </si>
  <si>
    <t>Cooper Seiltz</t>
  </si>
  <si>
    <t>Daniel Dixon</t>
  </si>
  <si>
    <t>Harley Saunders-Neate</t>
  </si>
  <si>
    <t>Reuben Shewan</t>
  </si>
  <si>
    <t>DNS</t>
  </si>
  <si>
    <t>Isabella Bray</t>
  </si>
  <si>
    <t>Holly Thatcher</t>
  </si>
  <si>
    <t>Daniel Sarich</t>
  </si>
  <si>
    <t>Jack Rudman</t>
  </si>
  <si>
    <t>Joshua Williams</t>
  </si>
  <si>
    <t>Leo Ottosson</t>
  </si>
  <si>
    <t>Louis Vedat</t>
  </si>
  <si>
    <t>Oscar Harris</t>
  </si>
  <si>
    <t>Theo Smith</t>
  </si>
  <si>
    <t>Thomas Kennerley</t>
  </si>
  <si>
    <t>Logan Singer</t>
  </si>
  <si>
    <t>Charlie Carman</t>
  </si>
  <si>
    <t>Aurelia Adams</t>
  </si>
  <si>
    <t>Daisy Gatehouse</t>
  </si>
  <si>
    <t>Filijay Touray</t>
  </si>
  <si>
    <t>Iris Osikoya</t>
  </si>
  <si>
    <t>Lara Tombleson</t>
  </si>
  <si>
    <t>Sophie Clark</t>
  </si>
  <si>
    <t>Jojo O'Shaughnessy</t>
  </si>
  <si>
    <t>Luke Mills</t>
  </si>
  <si>
    <t>Leo Ogungbemi</t>
  </si>
  <si>
    <t>Lucas Rapp</t>
  </si>
  <si>
    <t>Ted Chapman</t>
  </si>
  <si>
    <t>Arthur Rogers</t>
  </si>
  <si>
    <t>Lionel Fernandes</t>
  </si>
  <si>
    <t>Jasmine Nkoso</t>
  </si>
  <si>
    <t>Elyanna Oyediran</t>
  </si>
  <si>
    <t>Matthias Raziani</t>
  </si>
  <si>
    <t>Ben Stewart</t>
  </si>
  <si>
    <t>Mog Clayson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</si>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</sst>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rgb="FF43434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7" fontId="2" fillId="0" borderId="1" xfId="0" applyNumberFormat="1" applyFont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5FCF-2DA1-416D-A963-B819E2A7EC23}">
  <sheetPr>
    <pageSetUpPr fitToPage="1"/>
  </sheetPr>
  <dimension ref="A1:P12"/>
  <sheetViews>
    <sheetView workbookViewId="0">
      <selection activeCell="I15" sqref="I15"/>
    </sheetView>
  </sheetViews>
  <sheetFormatPr defaultColWidth="9" defaultRowHeight="13.5" x14ac:dyDescent="0.45"/>
  <cols>
    <col min="1" max="2" width="9" style="2"/>
    <col min="3" max="3" width="17.86328125" style="2" customWidth="1"/>
    <col min="4" max="10" width="9" style="2"/>
    <col min="11" max="11" width="9.73046875" style="2" customWidth="1"/>
    <col min="12" max="14" width="9" style="2"/>
    <col min="15" max="15" width="11.3984375" style="2" customWidth="1"/>
    <col min="16" max="16384" width="9" style="2"/>
  </cols>
  <sheetData>
    <row r="1" spans="1:16" ht="27.75" x14ac:dyDescent="0.45">
      <c r="A1" s="1" t="s">
        <v>9</v>
      </c>
      <c r="B1" s="7" t="s">
        <v>12</v>
      </c>
      <c r="C1" s="7" t="s">
        <v>10</v>
      </c>
      <c r="D1" s="7" t="s">
        <v>0</v>
      </c>
      <c r="E1" s="1" t="s">
        <v>7</v>
      </c>
      <c r="F1" s="7" t="s">
        <v>2</v>
      </c>
      <c r="G1" s="1" t="s">
        <v>7</v>
      </c>
      <c r="H1" s="7" t="s">
        <v>3</v>
      </c>
      <c r="I1" s="1" t="s">
        <v>7</v>
      </c>
      <c r="J1" s="7" t="s">
        <v>6</v>
      </c>
      <c r="K1" s="1" t="s">
        <v>7</v>
      </c>
      <c r="L1" s="7" t="s">
        <v>5</v>
      </c>
      <c r="M1" s="1" t="s">
        <v>7</v>
      </c>
      <c r="N1" s="1" t="s">
        <v>8</v>
      </c>
      <c r="O1" s="13" t="s">
        <v>11</v>
      </c>
      <c r="P1"/>
    </row>
    <row r="2" spans="1:16" ht="13.9" x14ac:dyDescent="0.35">
      <c r="A2" s="1">
        <f t="shared" ref="A2:A7" si="0">RANK($N2,$N$2:$N$7)</f>
        <v>1</v>
      </c>
      <c r="B2" s="26">
        <v>81</v>
      </c>
      <c r="C2" s="26" t="s">
        <v>29</v>
      </c>
      <c r="D2" s="25">
        <v>13.8</v>
      </c>
      <c r="E2" s="11">
        <f t="shared" ref="E2:E7" si="1">IF(D2=0,0,ROUNDDOWN(7.237*(27-D2)^1.835,0))</f>
        <v>823</v>
      </c>
      <c r="F2" s="3">
        <v>6.4</v>
      </c>
      <c r="G2" s="12">
        <f t="shared" ref="G2:G7" si="2">IF(F2=0,0,ROUNDDOWN(0.14354*(100*F2-220)^1.4,0))</f>
        <v>675</v>
      </c>
      <c r="H2" s="3">
        <v>1.63</v>
      </c>
      <c r="I2" s="12">
        <f t="shared" ref="I2:I7" si="3">IF(H2=0,0,ROUNDDOWN(0.8465*(100*H2-75)^1.42,0))</f>
        <v>488</v>
      </c>
      <c r="J2" s="3">
        <v>36.549999999999997</v>
      </c>
      <c r="K2" s="8">
        <v>392</v>
      </c>
      <c r="L2" s="4">
        <v>3.7025462962962962E-3</v>
      </c>
      <c r="M2" s="12">
        <f t="shared" ref="M2:M7" si="4">IF(L2=0,0,ROUNDDOWN(0.03768*(480-L2*86400)^1.85,0))</f>
        <v>451</v>
      </c>
      <c r="N2" s="10">
        <f t="shared" ref="N2:N7" si="5">SUM(E2,M2,G2,I2,K2)</f>
        <v>2829</v>
      </c>
      <c r="O2" s="9">
        <f t="shared" ref="O2:O7" si="6">SUM(N2-$N$2)</f>
        <v>0</v>
      </c>
    </row>
    <row r="3" spans="1:16" ht="13.9" x14ac:dyDescent="0.35">
      <c r="A3" s="1">
        <f t="shared" si="0"/>
        <v>2</v>
      </c>
      <c r="B3" s="26">
        <v>82</v>
      </c>
      <c r="C3" s="26" t="s">
        <v>16</v>
      </c>
      <c r="D3" s="25">
        <v>14.5</v>
      </c>
      <c r="E3" s="11">
        <f t="shared" si="1"/>
        <v>745</v>
      </c>
      <c r="F3" s="3">
        <v>5.96</v>
      </c>
      <c r="G3" s="12">
        <f t="shared" si="2"/>
        <v>578</v>
      </c>
      <c r="H3" s="3">
        <v>1.6</v>
      </c>
      <c r="I3" s="12">
        <f t="shared" si="3"/>
        <v>464</v>
      </c>
      <c r="J3" s="3">
        <v>29.35</v>
      </c>
      <c r="K3" s="8">
        <v>290</v>
      </c>
      <c r="L3" s="4">
        <v>3.3449074074074076E-3</v>
      </c>
      <c r="M3" s="12">
        <f t="shared" si="4"/>
        <v>625</v>
      </c>
      <c r="N3" s="10">
        <f t="shared" si="5"/>
        <v>2702</v>
      </c>
      <c r="O3" s="9">
        <f t="shared" si="6"/>
        <v>-127</v>
      </c>
    </row>
    <row r="4" spans="1:16" ht="13.9" x14ac:dyDescent="0.35">
      <c r="A4" s="1">
        <f t="shared" si="0"/>
        <v>3</v>
      </c>
      <c r="B4" s="26">
        <v>80</v>
      </c>
      <c r="C4" s="26" t="s">
        <v>62</v>
      </c>
      <c r="D4" s="25">
        <v>16</v>
      </c>
      <c r="E4" s="11">
        <f t="shared" si="1"/>
        <v>589</v>
      </c>
      <c r="F4" s="3">
        <v>5.45</v>
      </c>
      <c r="G4" s="12">
        <f t="shared" si="2"/>
        <v>471</v>
      </c>
      <c r="H4" s="3">
        <v>1.75</v>
      </c>
      <c r="I4" s="12">
        <f t="shared" si="3"/>
        <v>585</v>
      </c>
      <c r="J4" s="3">
        <v>34.89</v>
      </c>
      <c r="K4" s="8">
        <v>369</v>
      </c>
      <c r="L4" s="4">
        <v>3.7245370370370371E-3</v>
      </c>
      <c r="M4" s="12">
        <f t="shared" si="4"/>
        <v>441</v>
      </c>
      <c r="N4" s="10">
        <f t="shared" si="5"/>
        <v>2455</v>
      </c>
      <c r="O4" s="9">
        <f t="shared" si="6"/>
        <v>-374</v>
      </c>
    </row>
    <row r="5" spans="1:16" ht="13.9" x14ac:dyDescent="0.35">
      <c r="A5" s="1">
        <f t="shared" si="0"/>
        <v>4</v>
      </c>
      <c r="B5" s="26">
        <v>84</v>
      </c>
      <c r="C5" s="26" t="s">
        <v>30</v>
      </c>
      <c r="D5" s="25">
        <v>15.7</v>
      </c>
      <c r="E5" s="11">
        <f t="shared" si="1"/>
        <v>619</v>
      </c>
      <c r="F5" s="3">
        <v>5.9</v>
      </c>
      <c r="G5" s="12">
        <f t="shared" si="2"/>
        <v>565</v>
      </c>
      <c r="H5" s="3">
        <v>1.63</v>
      </c>
      <c r="I5" s="12">
        <f t="shared" si="3"/>
        <v>488</v>
      </c>
      <c r="J5" s="3">
        <v>27.78</v>
      </c>
      <c r="K5" s="8">
        <v>268</v>
      </c>
      <c r="L5" s="4">
        <v>3.5694444444444441E-3</v>
      </c>
      <c r="M5" s="12">
        <f t="shared" si="4"/>
        <v>512</v>
      </c>
      <c r="N5" s="10">
        <f t="shared" si="5"/>
        <v>2452</v>
      </c>
      <c r="O5" s="9">
        <f t="shared" si="6"/>
        <v>-377</v>
      </c>
    </row>
    <row r="6" spans="1:16" ht="13.9" x14ac:dyDescent="0.35">
      <c r="A6" s="1">
        <f t="shared" si="0"/>
        <v>5</v>
      </c>
      <c r="B6" s="26">
        <v>85</v>
      </c>
      <c r="C6" s="26" t="s">
        <v>15</v>
      </c>
      <c r="D6" s="25">
        <v>17.3</v>
      </c>
      <c r="E6" s="11">
        <f t="shared" si="1"/>
        <v>468</v>
      </c>
      <c r="F6" s="3">
        <v>5.85</v>
      </c>
      <c r="G6" s="12">
        <f t="shared" si="2"/>
        <v>554</v>
      </c>
      <c r="H6" s="3">
        <v>1.54</v>
      </c>
      <c r="I6" s="12">
        <f t="shared" si="3"/>
        <v>419</v>
      </c>
      <c r="J6" s="3">
        <v>20.85</v>
      </c>
      <c r="K6" s="8">
        <v>173</v>
      </c>
      <c r="L6" s="4">
        <v>3.5462962962962961E-3</v>
      </c>
      <c r="M6" s="12">
        <f t="shared" si="4"/>
        <v>523</v>
      </c>
      <c r="N6" s="10">
        <f t="shared" si="5"/>
        <v>2137</v>
      </c>
      <c r="O6" s="9">
        <f t="shared" si="6"/>
        <v>-692</v>
      </c>
    </row>
    <row r="7" spans="1:16" ht="13.9" x14ac:dyDescent="0.35">
      <c r="A7" s="1">
        <f t="shared" si="0"/>
        <v>6</v>
      </c>
      <c r="B7" s="26">
        <v>83</v>
      </c>
      <c r="C7" s="26" t="s">
        <v>63</v>
      </c>
      <c r="D7" s="25">
        <v>19.100000000000001</v>
      </c>
      <c r="E7" s="11">
        <f t="shared" si="1"/>
        <v>321</v>
      </c>
      <c r="F7" s="3">
        <v>5.0199999999999996</v>
      </c>
      <c r="G7" s="12">
        <f t="shared" si="2"/>
        <v>386</v>
      </c>
      <c r="H7" s="3">
        <v>1.51</v>
      </c>
      <c r="I7" s="12">
        <f t="shared" si="3"/>
        <v>396</v>
      </c>
      <c r="J7" s="3">
        <v>30</v>
      </c>
      <c r="K7" s="8">
        <v>299</v>
      </c>
      <c r="L7" s="4">
        <v>3.2037037037037038E-3</v>
      </c>
      <c r="M7" s="12">
        <f t="shared" si="4"/>
        <v>701</v>
      </c>
      <c r="N7" s="10">
        <f t="shared" si="5"/>
        <v>2103</v>
      </c>
      <c r="O7" s="9">
        <f t="shared" si="6"/>
        <v>-726</v>
      </c>
    </row>
    <row r="12" spans="1:16" ht="14.25" x14ac:dyDescent="0.45">
      <c r="G12"/>
    </row>
  </sheetData>
  <sortState xmlns:xlrd2="http://schemas.microsoft.com/office/spreadsheetml/2017/richdata2" ref="A2:P12">
    <sortCondition descending="1" ref="N2:N12"/>
  </sortState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42F6-DE97-41E0-B436-22B8EE7E983A}">
  <sheetPr>
    <pageSetUpPr fitToPage="1"/>
  </sheetPr>
  <dimension ref="A1:R16"/>
  <sheetViews>
    <sheetView workbookViewId="0">
      <pane xSplit="2" ySplit="1" topLeftCell="C2" activePane="bottomRight" state="frozen"/>
      <selection pane="topRight" activeCell="B1" sqref="B1"/>
      <selection pane="bottomLeft" activeCell="A4" sqref="A4"/>
      <selection pane="bottomRight" activeCell="H16" sqref="H16"/>
    </sheetView>
  </sheetViews>
  <sheetFormatPr defaultColWidth="9" defaultRowHeight="13.5" x14ac:dyDescent="0.35"/>
  <cols>
    <col min="1" max="2" width="9" style="5"/>
    <col min="3" max="3" width="25.86328125" style="5" customWidth="1"/>
    <col min="4" max="14" width="9" style="5"/>
    <col min="15" max="15" width="11.1328125" style="5" customWidth="1"/>
    <col min="16" max="16384" width="9" style="5"/>
  </cols>
  <sheetData>
    <row r="1" spans="1:18" ht="27.75" x14ac:dyDescent="0.35">
      <c r="A1" s="1" t="s">
        <v>9</v>
      </c>
      <c r="B1" s="7" t="s">
        <v>12</v>
      </c>
      <c r="C1" s="7" t="s">
        <v>10</v>
      </c>
      <c r="D1" s="7" t="s">
        <v>3</v>
      </c>
      <c r="E1" s="1" t="s">
        <v>7</v>
      </c>
      <c r="F1" s="7" t="s">
        <v>0</v>
      </c>
      <c r="G1" s="1" t="s">
        <v>7</v>
      </c>
      <c r="H1" s="7" t="s">
        <v>4</v>
      </c>
      <c r="I1" s="1" t="s">
        <v>7</v>
      </c>
      <c r="J1" s="7" t="s">
        <v>2</v>
      </c>
      <c r="K1" s="1" t="s">
        <v>7</v>
      </c>
      <c r="L1" s="7" t="s">
        <v>1</v>
      </c>
      <c r="M1" s="1" t="s">
        <v>7</v>
      </c>
      <c r="N1" s="1" t="s">
        <v>8</v>
      </c>
      <c r="O1" s="13" t="s">
        <v>11</v>
      </c>
    </row>
    <row r="2" spans="1:18" ht="13.9" x14ac:dyDescent="0.35">
      <c r="A2" s="1">
        <f t="shared" ref="A2:A16" si="0">RANK($N2,$N$2:$N$16)</f>
        <v>1</v>
      </c>
      <c r="B2" s="26">
        <v>62</v>
      </c>
      <c r="C2" s="26" t="s">
        <v>33</v>
      </c>
      <c r="D2" s="3">
        <v>1.65</v>
      </c>
      <c r="E2" s="12">
        <f t="shared" ref="E2:E16" si="1">IF(D2=0,0,ROUNDDOWN(0.8465*(100*D2-75)^1.42,0))</f>
        <v>504</v>
      </c>
      <c r="F2" s="25">
        <v>13.8</v>
      </c>
      <c r="G2" s="14">
        <f t="shared" ref="G2:G16" si="2">IF(F2=0,0,ROUNDDOWN(7.399*(24-F2)^1.835,0))</f>
        <v>524</v>
      </c>
      <c r="H2" s="3">
        <v>9.27</v>
      </c>
      <c r="I2" s="12">
        <f t="shared" ref="I2:I16" si="3">IF(H2=0,0,ROUNDDOWN(51.39*(H2-1.5)^1.05,0))</f>
        <v>442</v>
      </c>
      <c r="J2" s="3">
        <v>5.44</v>
      </c>
      <c r="K2" s="12">
        <f t="shared" ref="K2:K15" si="4">IF(J2=0,0,ROUNDDOWN(0.14354*(100*J2-220)^1.4,0))</f>
        <v>469</v>
      </c>
      <c r="L2" s="4">
        <v>1.5625000000000001E-3</v>
      </c>
      <c r="M2" s="14">
        <f t="shared" ref="M2:M15" si="5">IF(L2=0,0,INT(0.232*(200-L2*86400)^1.85))</f>
        <v>524</v>
      </c>
      <c r="N2" s="10">
        <f t="shared" ref="N2:N16" si="6">SUM(G2,M2,K2,E2,I2)</f>
        <v>2463</v>
      </c>
      <c r="O2" s="9">
        <f t="shared" ref="O2:O16" si="7">SUM(N2-$N$2)</f>
        <v>0</v>
      </c>
    </row>
    <row r="3" spans="1:18" ht="13.9" x14ac:dyDescent="0.35">
      <c r="A3" s="1">
        <f t="shared" si="0"/>
        <v>2</v>
      </c>
      <c r="B3" s="26">
        <v>50</v>
      </c>
      <c r="C3" s="26" t="s">
        <v>53</v>
      </c>
      <c r="D3" s="3">
        <v>1.68</v>
      </c>
      <c r="E3" s="12">
        <f t="shared" si="1"/>
        <v>528</v>
      </c>
      <c r="F3" s="25">
        <v>13.7</v>
      </c>
      <c r="G3" s="14">
        <f t="shared" si="2"/>
        <v>534</v>
      </c>
      <c r="H3" s="3">
        <v>8.98</v>
      </c>
      <c r="I3" s="12">
        <f t="shared" si="3"/>
        <v>425</v>
      </c>
      <c r="J3" s="3">
        <v>5.1100000000000003</v>
      </c>
      <c r="K3" s="12">
        <f t="shared" si="4"/>
        <v>404</v>
      </c>
      <c r="L3" s="4">
        <v>1.5474537037037037E-3</v>
      </c>
      <c r="M3" s="14">
        <f t="shared" si="5"/>
        <v>543</v>
      </c>
      <c r="N3" s="10">
        <f t="shared" si="6"/>
        <v>2434</v>
      </c>
      <c r="O3" s="9">
        <f t="shared" si="7"/>
        <v>-29</v>
      </c>
    </row>
    <row r="4" spans="1:18" ht="13.9" x14ac:dyDescent="0.35">
      <c r="A4" s="1">
        <f t="shared" si="0"/>
        <v>3</v>
      </c>
      <c r="B4" s="26">
        <v>52</v>
      </c>
      <c r="C4" s="26" t="s">
        <v>13</v>
      </c>
      <c r="D4" s="3">
        <v>1.5</v>
      </c>
      <c r="E4" s="12">
        <f t="shared" si="1"/>
        <v>389</v>
      </c>
      <c r="F4" s="25">
        <v>12.2</v>
      </c>
      <c r="G4" s="14">
        <f t="shared" si="2"/>
        <v>685</v>
      </c>
      <c r="H4" s="3">
        <v>6.44</v>
      </c>
      <c r="I4" s="12">
        <f t="shared" si="3"/>
        <v>274</v>
      </c>
      <c r="J4" s="3">
        <v>5.9</v>
      </c>
      <c r="K4" s="12">
        <f t="shared" si="4"/>
        <v>565</v>
      </c>
      <c r="L4" s="4">
        <v>1.5937499999999999E-3</v>
      </c>
      <c r="M4" s="14">
        <f t="shared" si="5"/>
        <v>484</v>
      </c>
      <c r="N4" s="10">
        <f t="shared" si="6"/>
        <v>2397</v>
      </c>
      <c r="O4" s="9">
        <f t="shared" si="7"/>
        <v>-66</v>
      </c>
    </row>
    <row r="5" spans="1:18" ht="13.9" x14ac:dyDescent="0.35">
      <c r="A5" s="1">
        <f t="shared" si="0"/>
        <v>4</v>
      </c>
      <c r="B5" s="26">
        <v>57</v>
      </c>
      <c r="C5" s="26" t="s">
        <v>58</v>
      </c>
      <c r="D5" s="3">
        <v>1.47</v>
      </c>
      <c r="E5" s="12">
        <f t="shared" si="1"/>
        <v>367</v>
      </c>
      <c r="F5" s="25">
        <v>13.2</v>
      </c>
      <c r="G5" s="14">
        <f t="shared" si="2"/>
        <v>582</v>
      </c>
      <c r="H5" s="3">
        <v>10.27</v>
      </c>
      <c r="I5" s="12">
        <f t="shared" si="3"/>
        <v>502</v>
      </c>
      <c r="J5" s="3">
        <v>4.76</v>
      </c>
      <c r="K5" s="12">
        <f t="shared" si="4"/>
        <v>337</v>
      </c>
      <c r="L5" s="4">
        <v>1.6446759259259259E-3</v>
      </c>
      <c r="M5" s="14">
        <f t="shared" si="5"/>
        <v>423</v>
      </c>
      <c r="N5" s="10">
        <f t="shared" si="6"/>
        <v>2211</v>
      </c>
      <c r="O5" s="9">
        <f t="shared" si="7"/>
        <v>-252</v>
      </c>
    </row>
    <row r="6" spans="1:18" ht="13.9" x14ac:dyDescent="0.35">
      <c r="A6" s="1">
        <f t="shared" si="0"/>
        <v>5</v>
      </c>
      <c r="B6" s="26">
        <v>58</v>
      </c>
      <c r="C6" s="26" t="s">
        <v>32</v>
      </c>
      <c r="D6" s="3">
        <v>1.47</v>
      </c>
      <c r="E6" s="12">
        <f t="shared" si="1"/>
        <v>367</v>
      </c>
      <c r="F6" s="25">
        <v>13.2</v>
      </c>
      <c r="G6" s="14">
        <f t="shared" si="2"/>
        <v>582</v>
      </c>
      <c r="H6" s="3">
        <v>7.75</v>
      </c>
      <c r="I6" s="12">
        <f t="shared" si="3"/>
        <v>352</v>
      </c>
      <c r="J6" s="3">
        <v>4.8600000000000003</v>
      </c>
      <c r="K6" s="12">
        <f t="shared" si="4"/>
        <v>356</v>
      </c>
      <c r="L6" s="4">
        <v>1.7824074074074075E-3</v>
      </c>
      <c r="M6" s="14">
        <f t="shared" si="5"/>
        <v>276</v>
      </c>
      <c r="N6" s="10">
        <f t="shared" si="6"/>
        <v>1933</v>
      </c>
      <c r="O6" s="9">
        <f t="shared" si="7"/>
        <v>-530</v>
      </c>
    </row>
    <row r="7" spans="1:18" ht="13.9" x14ac:dyDescent="0.35">
      <c r="A7" s="1">
        <f t="shared" si="0"/>
        <v>6</v>
      </c>
      <c r="B7" s="26">
        <v>59</v>
      </c>
      <c r="C7" s="26" t="s">
        <v>25</v>
      </c>
      <c r="D7" s="3">
        <v>1.53</v>
      </c>
      <c r="E7" s="12">
        <f t="shared" si="1"/>
        <v>411</v>
      </c>
      <c r="F7" s="25">
        <v>13.8</v>
      </c>
      <c r="G7" s="14">
        <f t="shared" si="2"/>
        <v>524</v>
      </c>
      <c r="H7" s="3">
        <v>7.42</v>
      </c>
      <c r="I7" s="12">
        <f t="shared" si="3"/>
        <v>332</v>
      </c>
      <c r="J7" s="3">
        <v>4.53</v>
      </c>
      <c r="K7" s="12">
        <f t="shared" si="4"/>
        <v>295</v>
      </c>
      <c r="L7" s="4">
        <v>1.7222222222222224E-3</v>
      </c>
      <c r="M7" s="14">
        <f t="shared" si="5"/>
        <v>337</v>
      </c>
      <c r="N7" s="10">
        <f t="shared" si="6"/>
        <v>1899</v>
      </c>
      <c r="O7" s="9">
        <f t="shared" si="7"/>
        <v>-564</v>
      </c>
    </row>
    <row r="8" spans="1:18" ht="13.9" x14ac:dyDescent="0.35">
      <c r="A8" s="1">
        <f t="shared" si="0"/>
        <v>7</v>
      </c>
      <c r="B8" s="26">
        <v>53</v>
      </c>
      <c r="C8" s="26" t="s">
        <v>31</v>
      </c>
      <c r="D8" s="3">
        <v>1.41</v>
      </c>
      <c r="E8" s="12">
        <f t="shared" si="1"/>
        <v>324</v>
      </c>
      <c r="F8" s="25">
        <v>13.1</v>
      </c>
      <c r="G8" s="14">
        <f t="shared" si="2"/>
        <v>592</v>
      </c>
      <c r="H8" s="3">
        <v>8.01</v>
      </c>
      <c r="I8" s="12">
        <f t="shared" si="3"/>
        <v>367</v>
      </c>
      <c r="J8" s="3">
        <v>4.53</v>
      </c>
      <c r="K8" s="12">
        <f t="shared" si="4"/>
        <v>295</v>
      </c>
      <c r="L8" s="4">
        <v>1.7824074074074075E-3</v>
      </c>
      <c r="M8" s="14">
        <f t="shared" si="5"/>
        <v>276</v>
      </c>
      <c r="N8" s="10">
        <f t="shared" si="6"/>
        <v>1854</v>
      </c>
      <c r="O8" s="9">
        <f t="shared" si="7"/>
        <v>-609</v>
      </c>
    </row>
    <row r="9" spans="1:18" ht="13.9" x14ac:dyDescent="0.35">
      <c r="A9" s="1">
        <f t="shared" si="0"/>
        <v>8</v>
      </c>
      <c r="B9" s="26">
        <v>51</v>
      </c>
      <c r="C9" s="26" t="s">
        <v>54</v>
      </c>
      <c r="D9" s="3">
        <v>1.32</v>
      </c>
      <c r="E9" s="12">
        <f t="shared" si="1"/>
        <v>263</v>
      </c>
      <c r="F9" s="25">
        <v>12.4</v>
      </c>
      <c r="G9" s="14">
        <f t="shared" si="2"/>
        <v>664</v>
      </c>
      <c r="H9" s="3">
        <v>6.81</v>
      </c>
      <c r="I9" s="12">
        <f t="shared" si="3"/>
        <v>296</v>
      </c>
      <c r="J9" s="3">
        <v>4.5599999999999996</v>
      </c>
      <c r="K9" s="12">
        <f t="shared" si="4"/>
        <v>301</v>
      </c>
      <c r="L9" s="4">
        <v>1.8090277777777779E-3</v>
      </c>
      <c r="M9" s="14">
        <f t="shared" si="5"/>
        <v>251</v>
      </c>
      <c r="N9" s="10">
        <f t="shared" si="6"/>
        <v>1775</v>
      </c>
      <c r="O9" s="9">
        <f t="shared" si="7"/>
        <v>-688</v>
      </c>
    </row>
    <row r="10" spans="1:18" ht="13.9" x14ac:dyDescent="0.35">
      <c r="A10" s="1">
        <f t="shared" si="0"/>
        <v>9</v>
      </c>
      <c r="B10" s="26">
        <v>60</v>
      </c>
      <c r="C10" s="26" t="s">
        <v>59</v>
      </c>
      <c r="D10" s="3">
        <v>1.5</v>
      </c>
      <c r="E10" s="12">
        <f t="shared" si="1"/>
        <v>389</v>
      </c>
      <c r="F10" s="25">
        <v>15.9</v>
      </c>
      <c r="G10" s="14">
        <f t="shared" si="2"/>
        <v>343</v>
      </c>
      <c r="H10" s="3">
        <v>8.09</v>
      </c>
      <c r="I10" s="12">
        <f t="shared" si="3"/>
        <v>372</v>
      </c>
      <c r="J10" s="3">
        <v>4.46</v>
      </c>
      <c r="K10" s="12">
        <f t="shared" si="4"/>
        <v>283</v>
      </c>
      <c r="L10" s="4">
        <v>1.6840277777777778E-3</v>
      </c>
      <c r="M10" s="14">
        <f t="shared" si="5"/>
        <v>378</v>
      </c>
      <c r="N10" s="10">
        <f t="shared" si="6"/>
        <v>1765</v>
      </c>
      <c r="O10" s="9">
        <f t="shared" si="7"/>
        <v>-698</v>
      </c>
    </row>
    <row r="11" spans="1:18" ht="13.9" x14ac:dyDescent="0.35">
      <c r="A11" s="1">
        <f t="shared" si="0"/>
        <v>10</v>
      </c>
      <c r="B11" s="26">
        <v>56</v>
      </c>
      <c r="C11" s="26" t="s">
        <v>57</v>
      </c>
      <c r="D11" s="3">
        <v>1.35</v>
      </c>
      <c r="E11" s="12">
        <f t="shared" si="1"/>
        <v>283</v>
      </c>
      <c r="F11" s="25">
        <v>14.2</v>
      </c>
      <c r="G11" s="14">
        <f t="shared" si="2"/>
        <v>487</v>
      </c>
      <c r="H11" s="3">
        <v>7.23</v>
      </c>
      <c r="I11" s="12">
        <f t="shared" si="3"/>
        <v>321</v>
      </c>
      <c r="J11" s="3">
        <v>4.41</v>
      </c>
      <c r="K11" s="12">
        <f t="shared" si="4"/>
        <v>274</v>
      </c>
      <c r="L11" s="4">
        <v>1.6782407407407408E-3</v>
      </c>
      <c r="M11" s="14">
        <f t="shared" si="5"/>
        <v>384</v>
      </c>
      <c r="N11" s="10">
        <f t="shared" si="6"/>
        <v>1749</v>
      </c>
      <c r="O11" s="9">
        <f t="shared" si="7"/>
        <v>-714</v>
      </c>
    </row>
    <row r="12" spans="1:18" ht="13.9" x14ac:dyDescent="0.35">
      <c r="A12" s="1">
        <f t="shared" si="0"/>
        <v>11</v>
      </c>
      <c r="B12" s="26">
        <v>54</v>
      </c>
      <c r="C12" s="26" t="s">
        <v>55</v>
      </c>
      <c r="D12" s="3">
        <v>1.44</v>
      </c>
      <c r="E12" s="12">
        <f t="shared" si="1"/>
        <v>345</v>
      </c>
      <c r="F12" s="25">
        <v>15.5</v>
      </c>
      <c r="G12" s="14">
        <f t="shared" si="2"/>
        <v>375</v>
      </c>
      <c r="H12" s="3">
        <v>6.69</v>
      </c>
      <c r="I12" s="12">
        <f t="shared" si="3"/>
        <v>289</v>
      </c>
      <c r="J12" s="3">
        <v>4.4800000000000004</v>
      </c>
      <c r="K12" s="12">
        <f t="shared" si="4"/>
        <v>287</v>
      </c>
      <c r="L12" s="4">
        <v>1.7569444444444447E-3</v>
      </c>
      <c r="M12" s="14">
        <f t="shared" si="5"/>
        <v>301</v>
      </c>
      <c r="N12" s="10">
        <f t="shared" si="6"/>
        <v>1597</v>
      </c>
      <c r="O12" s="9">
        <f t="shared" si="7"/>
        <v>-866</v>
      </c>
    </row>
    <row r="13" spans="1:18" ht="13.9" x14ac:dyDescent="0.35">
      <c r="A13" s="1">
        <f t="shared" si="0"/>
        <v>12</v>
      </c>
      <c r="B13" s="26">
        <v>61</v>
      </c>
      <c r="C13" s="26" t="s">
        <v>26</v>
      </c>
      <c r="D13" s="3">
        <v>1.29</v>
      </c>
      <c r="E13" s="12">
        <f t="shared" si="1"/>
        <v>244</v>
      </c>
      <c r="F13" s="25">
        <v>18.399999999999999</v>
      </c>
      <c r="G13" s="14">
        <f t="shared" si="2"/>
        <v>174</v>
      </c>
      <c r="H13" s="3">
        <v>8.86</v>
      </c>
      <c r="I13" s="12">
        <f t="shared" si="3"/>
        <v>417</v>
      </c>
      <c r="J13" s="3">
        <v>4.2</v>
      </c>
      <c r="K13" s="12">
        <f t="shared" si="4"/>
        <v>239</v>
      </c>
      <c r="L13" s="4">
        <v>1.8564814814814815E-3</v>
      </c>
      <c r="M13" s="14">
        <f t="shared" si="5"/>
        <v>209</v>
      </c>
      <c r="N13" s="10">
        <f t="shared" si="6"/>
        <v>1283</v>
      </c>
      <c r="O13" s="9">
        <f t="shared" si="7"/>
        <v>-1180</v>
      </c>
    </row>
    <row r="14" spans="1:18" ht="14.25" x14ac:dyDescent="0.45">
      <c r="A14" s="1">
        <f t="shared" si="0"/>
        <v>13</v>
      </c>
      <c r="B14" s="26">
        <v>13</v>
      </c>
      <c r="C14" s="26" t="s">
        <v>24</v>
      </c>
      <c r="D14" s="3">
        <v>1.26</v>
      </c>
      <c r="E14" s="12">
        <f t="shared" si="1"/>
        <v>225</v>
      </c>
      <c r="F14" s="25">
        <v>15.3</v>
      </c>
      <c r="G14" s="14">
        <f t="shared" si="2"/>
        <v>391</v>
      </c>
      <c r="H14" s="3">
        <v>6.51</v>
      </c>
      <c r="I14" s="12">
        <f t="shared" si="3"/>
        <v>279</v>
      </c>
      <c r="J14" s="3">
        <v>4.13</v>
      </c>
      <c r="K14" s="12">
        <f t="shared" si="4"/>
        <v>227</v>
      </c>
      <c r="L14" s="4">
        <v>2.0879629629629629E-3</v>
      </c>
      <c r="M14" s="14">
        <f t="shared" si="5"/>
        <v>57</v>
      </c>
      <c r="N14" s="10">
        <f t="shared" si="6"/>
        <v>1179</v>
      </c>
      <c r="O14" s="9">
        <f t="shared" si="7"/>
        <v>-1284</v>
      </c>
      <c r="R14"/>
    </row>
    <row r="15" spans="1:18" ht="13.9" x14ac:dyDescent="0.35">
      <c r="A15" s="1">
        <f t="shared" si="0"/>
        <v>14</v>
      </c>
      <c r="B15" s="26">
        <v>12</v>
      </c>
      <c r="C15" s="26" t="s">
        <v>37</v>
      </c>
      <c r="D15" s="3">
        <v>1.2</v>
      </c>
      <c r="E15" s="12">
        <f t="shared" si="1"/>
        <v>188</v>
      </c>
      <c r="F15" s="25">
        <v>17.3</v>
      </c>
      <c r="G15" s="14">
        <f t="shared" si="2"/>
        <v>242</v>
      </c>
      <c r="H15" s="3">
        <v>5.27</v>
      </c>
      <c r="I15" s="12">
        <f t="shared" si="3"/>
        <v>207</v>
      </c>
      <c r="J15" s="3">
        <v>4.12</v>
      </c>
      <c r="K15" s="12">
        <f t="shared" si="4"/>
        <v>225</v>
      </c>
      <c r="L15" s="4">
        <v>2.0138888888888888E-3</v>
      </c>
      <c r="M15" s="14">
        <f t="shared" si="5"/>
        <v>96</v>
      </c>
      <c r="N15" s="10">
        <f t="shared" si="6"/>
        <v>958</v>
      </c>
      <c r="O15" s="9">
        <f t="shared" si="7"/>
        <v>-1505</v>
      </c>
    </row>
    <row r="16" spans="1:18" ht="13.9" x14ac:dyDescent="0.35">
      <c r="A16" s="1">
        <f t="shared" si="0"/>
        <v>15</v>
      </c>
      <c r="B16" s="26">
        <v>55</v>
      </c>
      <c r="C16" s="26" t="s">
        <v>56</v>
      </c>
      <c r="D16" s="3">
        <v>1.35</v>
      </c>
      <c r="E16" s="12">
        <f t="shared" si="1"/>
        <v>283</v>
      </c>
      <c r="F16" s="25">
        <v>17.100000000000001</v>
      </c>
      <c r="G16" s="14">
        <f t="shared" si="2"/>
        <v>256</v>
      </c>
      <c r="H16" s="3">
        <v>3.81</v>
      </c>
      <c r="I16" s="12">
        <f t="shared" si="3"/>
        <v>123</v>
      </c>
      <c r="J16" s="3" t="s">
        <v>34</v>
      </c>
      <c r="K16" s="12">
        <v>0</v>
      </c>
      <c r="L16" s="4" t="s">
        <v>34</v>
      </c>
      <c r="M16" s="14">
        <v>0</v>
      </c>
      <c r="N16" s="10">
        <f t="shared" si="6"/>
        <v>662</v>
      </c>
      <c r="O16" s="9">
        <f t="shared" si="7"/>
        <v>-1801</v>
      </c>
    </row>
  </sheetData>
  <sortState xmlns:xlrd2="http://schemas.microsoft.com/office/spreadsheetml/2017/richdata2" ref="A1:O16">
    <sortCondition descending="1" ref="N1:N16"/>
  </sortState>
  <pageMargins left="0.7" right="0.7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1CAB-D175-4205-A3A2-320B8F9EDA6A}">
  <sheetPr>
    <pageSetUpPr fitToPage="1"/>
  </sheetPr>
  <dimension ref="A1:M15"/>
  <sheetViews>
    <sheetView workbookViewId="0">
      <selection activeCell="C18" sqref="C18"/>
    </sheetView>
  </sheetViews>
  <sheetFormatPr defaultColWidth="9" defaultRowHeight="13.5" x14ac:dyDescent="0.35"/>
  <cols>
    <col min="1" max="2" width="9" style="5"/>
    <col min="3" max="3" width="18" style="5" customWidth="1"/>
    <col min="4" max="12" width="9" style="5"/>
    <col min="13" max="13" width="11.86328125" style="5" customWidth="1"/>
    <col min="14" max="16384" width="9" style="5"/>
  </cols>
  <sheetData>
    <row r="1" spans="1:13" ht="41.65" customHeight="1" x14ac:dyDescent="0.35">
      <c r="A1" s="1" t="s">
        <v>9</v>
      </c>
      <c r="B1" s="7" t="s">
        <v>12</v>
      </c>
      <c r="C1" s="7" t="s">
        <v>10</v>
      </c>
      <c r="D1" s="7" t="s">
        <v>0</v>
      </c>
      <c r="E1" s="1" t="s">
        <v>7</v>
      </c>
      <c r="F1" s="7" t="s">
        <v>2</v>
      </c>
      <c r="G1" s="1" t="s">
        <v>7</v>
      </c>
      <c r="H1" s="7" t="s">
        <v>4</v>
      </c>
      <c r="I1" s="1" t="s">
        <v>7</v>
      </c>
      <c r="J1" s="7" t="s">
        <v>1</v>
      </c>
      <c r="K1" s="1" t="s">
        <v>7</v>
      </c>
      <c r="L1" s="1" t="s">
        <v>8</v>
      </c>
      <c r="M1" s="13" t="s">
        <v>11</v>
      </c>
    </row>
    <row r="2" spans="1:13" ht="13.9" x14ac:dyDescent="0.4">
      <c r="A2" s="15">
        <f t="shared" ref="A2:A10" si="0">RANK($L2,$L$2:$L$10)</f>
        <v>1</v>
      </c>
      <c r="B2" s="26">
        <v>21</v>
      </c>
      <c r="C2" s="26" t="s">
        <v>44</v>
      </c>
      <c r="D2" s="16">
        <v>12.7</v>
      </c>
      <c r="E2" s="18">
        <f t="shared" ref="E2:E10" si="1">IF(D2=0,0,ROUNDDOWN(7.399*(23-D2)^1.835,0))</f>
        <v>534</v>
      </c>
      <c r="F2" s="16">
        <v>4.7699999999999996</v>
      </c>
      <c r="G2" s="11">
        <f t="shared" ref="G2:G8" si="2">IF(F2=0,0,ROUNDDOWN(0.14354*(100*F2-220)^1.4,0))</f>
        <v>339</v>
      </c>
      <c r="H2" s="16">
        <v>8.56</v>
      </c>
      <c r="I2" s="11">
        <f t="shared" ref="I2:I10" si="3">IF(H2=0,0,ROUNDDOWN(51.39*(H2-1.5)^1.05,0))</f>
        <v>400</v>
      </c>
      <c r="J2" s="17">
        <v>1.7743055555555557E-3</v>
      </c>
      <c r="K2" s="18">
        <v>284</v>
      </c>
      <c r="L2" s="19">
        <f t="shared" ref="L2:L10" si="4">SUM(E2,K2,G2,I2)</f>
        <v>1557</v>
      </c>
      <c r="M2" s="9">
        <f t="shared" ref="M2:M10" si="5">SUM(L2-$L$2)</f>
        <v>0</v>
      </c>
    </row>
    <row r="3" spans="1:13" ht="13.9" x14ac:dyDescent="0.4">
      <c r="A3" s="15">
        <f t="shared" si="0"/>
        <v>2</v>
      </c>
      <c r="B3" s="26">
        <v>23</v>
      </c>
      <c r="C3" s="26" t="s">
        <v>46</v>
      </c>
      <c r="D3" s="16">
        <v>16.8</v>
      </c>
      <c r="E3" s="18">
        <f t="shared" si="1"/>
        <v>210</v>
      </c>
      <c r="F3" s="16">
        <v>4.12</v>
      </c>
      <c r="G3" s="11">
        <f t="shared" si="2"/>
        <v>225</v>
      </c>
      <c r="H3" s="16">
        <v>5.77</v>
      </c>
      <c r="I3" s="11">
        <f t="shared" si="3"/>
        <v>235</v>
      </c>
      <c r="J3" s="17">
        <v>1.65625E-3</v>
      </c>
      <c r="K3" s="18">
        <v>409</v>
      </c>
      <c r="L3" s="19">
        <f t="shared" si="4"/>
        <v>1079</v>
      </c>
      <c r="M3" s="9">
        <f t="shared" si="5"/>
        <v>-478</v>
      </c>
    </row>
    <row r="4" spans="1:13" ht="15" customHeight="1" x14ac:dyDescent="0.4">
      <c r="A4" s="15">
        <f t="shared" si="0"/>
        <v>3</v>
      </c>
      <c r="B4" s="26">
        <v>15</v>
      </c>
      <c r="C4" s="26" t="s">
        <v>39</v>
      </c>
      <c r="D4" s="16">
        <v>15.2</v>
      </c>
      <c r="E4" s="18">
        <f t="shared" si="1"/>
        <v>320</v>
      </c>
      <c r="F4" s="16">
        <v>3.95</v>
      </c>
      <c r="G4" s="11">
        <f t="shared" si="2"/>
        <v>198</v>
      </c>
      <c r="H4" s="16">
        <v>4.2300000000000004</v>
      </c>
      <c r="I4" s="11">
        <f t="shared" si="3"/>
        <v>147</v>
      </c>
      <c r="J4" s="17">
        <v>1.736111111111111E-3</v>
      </c>
      <c r="K4" s="18">
        <v>322</v>
      </c>
      <c r="L4" s="19">
        <f t="shared" si="4"/>
        <v>987</v>
      </c>
      <c r="M4" s="9">
        <f t="shared" si="5"/>
        <v>-570</v>
      </c>
    </row>
    <row r="5" spans="1:13" ht="13.9" x14ac:dyDescent="0.4">
      <c r="A5" s="15">
        <f t="shared" si="0"/>
        <v>4</v>
      </c>
      <c r="B5" s="26">
        <v>14</v>
      </c>
      <c r="C5" s="26" t="s">
        <v>38</v>
      </c>
      <c r="D5" s="16">
        <v>15.7</v>
      </c>
      <c r="E5" s="18">
        <f t="shared" si="1"/>
        <v>284</v>
      </c>
      <c r="F5" s="16">
        <v>3.75</v>
      </c>
      <c r="G5" s="11">
        <f t="shared" si="2"/>
        <v>167</v>
      </c>
      <c r="H5" s="16">
        <v>6.67</v>
      </c>
      <c r="I5" s="11">
        <f t="shared" si="3"/>
        <v>288</v>
      </c>
      <c r="J5" s="17">
        <v>1.8912037037037038E-3</v>
      </c>
      <c r="K5" s="18">
        <v>181</v>
      </c>
      <c r="L5" s="19">
        <f t="shared" si="4"/>
        <v>920</v>
      </c>
      <c r="M5" s="9">
        <f t="shared" si="5"/>
        <v>-637</v>
      </c>
    </row>
    <row r="6" spans="1:13" ht="13.9" x14ac:dyDescent="0.4">
      <c r="A6" s="15">
        <f t="shared" si="0"/>
        <v>5</v>
      </c>
      <c r="B6" s="26">
        <v>22</v>
      </c>
      <c r="C6" s="26" t="s">
        <v>45</v>
      </c>
      <c r="D6" s="16">
        <v>16.2</v>
      </c>
      <c r="E6" s="18">
        <f t="shared" si="1"/>
        <v>249</v>
      </c>
      <c r="F6" s="16">
        <v>3.89</v>
      </c>
      <c r="G6" s="11">
        <f t="shared" si="2"/>
        <v>188</v>
      </c>
      <c r="H6" s="16">
        <v>4.79</v>
      </c>
      <c r="I6" s="11">
        <f t="shared" si="3"/>
        <v>179</v>
      </c>
      <c r="J6" s="17">
        <v>1.8946759259259257E-3</v>
      </c>
      <c r="K6" s="18">
        <v>178</v>
      </c>
      <c r="L6" s="19">
        <f t="shared" si="4"/>
        <v>794</v>
      </c>
      <c r="M6" s="9">
        <f t="shared" si="5"/>
        <v>-763</v>
      </c>
    </row>
    <row r="7" spans="1:13" ht="13.9" x14ac:dyDescent="0.4">
      <c r="A7" s="15">
        <f t="shared" si="0"/>
        <v>6</v>
      </c>
      <c r="B7" s="26">
        <v>19</v>
      </c>
      <c r="C7" s="26" t="s">
        <v>42</v>
      </c>
      <c r="D7" s="16">
        <v>17</v>
      </c>
      <c r="E7" s="18">
        <f t="shared" si="1"/>
        <v>198</v>
      </c>
      <c r="F7" s="16">
        <v>3.53</v>
      </c>
      <c r="G7" s="11">
        <f t="shared" si="2"/>
        <v>135</v>
      </c>
      <c r="H7" s="16">
        <v>4.75</v>
      </c>
      <c r="I7" s="11">
        <f t="shared" si="3"/>
        <v>177</v>
      </c>
      <c r="J7" s="17">
        <v>2.0208333333333332E-3</v>
      </c>
      <c r="K7" s="18">
        <v>92</v>
      </c>
      <c r="L7" s="19">
        <f t="shared" si="4"/>
        <v>602</v>
      </c>
      <c r="M7" s="9">
        <f t="shared" si="5"/>
        <v>-955</v>
      </c>
    </row>
    <row r="8" spans="1:13" ht="13.9" x14ac:dyDescent="0.4">
      <c r="A8" s="15">
        <f t="shared" si="0"/>
        <v>7</v>
      </c>
      <c r="B8" s="26">
        <v>20</v>
      </c>
      <c r="C8" s="26" t="s">
        <v>43</v>
      </c>
      <c r="D8" s="16">
        <v>18.3</v>
      </c>
      <c r="E8" s="18">
        <f t="shared" si="1"/>
        <v>126</v>
      </c>
      <c r="F8" s="16">
        <v>3.88</v>
      </c>
      <c r="G8" s="11">
        <f t="shared" si="2"/>
        <v>187</v>
      </c>
      <c r="H8" s="16">
        <v>4.99</v>
      </c>
      <c r="I8" s="11">
        <f t="shared" si="3"/>
        <v>190</v>
      </c>
      <c r="J8" s="17">
        <v>2.0370370370370369E-3</v>
      </c>
      <c r="K8" s="18">
        <v>82</v>
      </c>
      <c r="L8" s="19">
        <f t="shared" si="4"/>
        <v>585</v>
      </c>
      <c r="M8" s="9">
        <f t="shared" si="5"/>
        <v>-972</v>
      </c>
    </row>
    <row r="9" spans="1:13" ht="13.9" x14ac:dyDescent="0.4">
      <c r="A9" s="15">
        <f t="shared" si="0"/>
        <v>8</v>
      </c>
      <c r="B9" s="26">
        <v>17</v>
      </c>
      <c r="C9" s="26" t="s">
        <v>41</v>
      </c>
      <c r="D9" s="16">
        <v>17</v>
      </c>
      <c r="E9" s="18">
        <f t="shared" si="1"/>
        <v>198</v>
      </c>
      <c r="F9" s="16" t="s">
        <v>65</v>
      </c>
      <c r="G9" s="11">
        <v>0</v>
      </c>
      <c r="H9" s="16">
        <v>5.74</v>
      </c>
      <c r="I9" s="11">
        <f t="shared" si="3"/>
        <v>234</v>
      </c>
      <c r="J9" s="17">
        <v>2.1331018518518522E-3</v>
      </c>
      <c r="K9" s="18">
        <v>37</v>
      </c>
      <c r="L9" s="19">
        <f t="shared" si="4"/>
        <v>469</v>
      </c>
      <c r="M9" s="9">
        <f t="shared" si="5"/>
        <v>-1088</v>
      </c>
    </row>
    <row r="10" spans="1:13" ht="13.9" x14ac:dyDescent="0.4">
      <c r="A10" s="15">
        <f t="shared" si="0"/>
        <v>9</v>
      </c>
      <c r="B10" s="26">
        <v>16</v>
      </c>
      <c r="C10" s="26" t="s">
        <v>40</v>
      </c>
      <c r="D10" s="16">
        <v>19.2</v>
      </c>
      <c r="E10" s="18">
        <f t="shared" si="1"/>
        <v>85</v>
      </c>
      <c r="F10" s="16">
        <v>3.55</v>
      </c>
      <c r="G10" s="11">
        <f>IF(F10=0,0,ROUNDDOWN(0.14354*(100*F10-220)^1.4,0))</f>
        <v>137</v>
      </c>
      <c r="H10" s="16">
        <v>3.97</v>
      </c>
      <c r="I10" s="11">
        <f t="shared" si="3"/>
        <v>132</v>
      </c>
      <c r="J10" s="17">
        <v>2.2256944444444446E-3</v>
      </c>
      <c r="K10" s="18">
        <v>10</v>
      </c>
      <c r="L10" s="19">
        <f t="shared" si="4"/>
        <v>364</v>
      </c>
      <c r="M10" s="9">
        <f t="shared" si="5"/>
        <v>-1193</v>
      </c>
    </row>
    <row r="11" spans="1:13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3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</sheetData>
  <sortState xmlns:xlrd2="http://schemas.microsoft.com/office/spreadsheetml/2017/richdata2" ref="A2:M15">
    <sortCondition descending="1" ref="L2:L15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45BB-A840-473B-BD44-40A78F72A513}">
  <sheetPr>
    <pageSetUpPr fitToPage="1"/>
  </sheetPr>
  <dimension ref="A1:O5"/>
  <sheetViews>
    <sheetView tabSelected="1" workbookViewId="0">
      <selection activeCell="L15" sqref="L15"/>
    </sheetView>
  </sheetViews>
  <sheetFormatPr defaultRowHeight="14.25" x14ac:dyDescent="0.45"/>
  <cols>
    <col min="3" max="3" width="25" customWidth="1"/>
    <col min="15" max="15" width="10.59765625" customWidth="1"/>
  </cols>
  <sheetData>
    <row r="1" spans="1:15" ht="27.75" x14ac:dyDescent="0.45">
      <c r="A1" s="1" t="s">
        <v>9</v>
      </c>
      <c r="B1" s="7" t="s">
        <v>12</v>
      </c>
      <c r="C1" s="7" t="s">
        <v>10</v>
      </c>
      <c r="D1" s="7" t="s">
        <v>6</v>
      </c>
      <c r="E1" s="1" t="s">
        <v>7</v>
      </c>
      <c r="F1" s="7" t="s">
        <v>0</v>
      </c>
      <c r="G1" s="1" t="s">
        <v>7</v>
      </c>
      <c r="H1" s="7" t="s">
        <v>2</v>
      </c>
      <c r="I1" s="1" t="s">
        <v>7</v>
      </c>
      <c r="J1" s="7" t="s">
        <v>3</v>
      </c>
      <c r="K1" s="1" t="s">
        <v>7</v>
      </c>
      <c r="L1" s="7" t="s">
        <v>1</v>
      </c>
      <c r="M1" s="1" t="s">
        <v>7</v>
      </c>
      <c r="N1" s="20" t="s">
        <v>8</v>
      </c>
      <c r="O1" s="13" t="s">
        <v>11</v>
      </c>
    </row>
    <row r="2" spans="1:15" ht="15.75" x14ac:dyDescent="0.45">
      <c r="A2" s="1">
        <f>RANK($N2,$N$2:$N$5)</f>
        <v>1</v>
      </c>
      <c r="B2" s="26">
        <v>70</v>
      </c>
      <c r="C2" s="26" t="s">
        <v>60</v>
      </c>
      <c r="D2" s="3">
        <v>40.32</v>
      </c>
      <c r="E2" s="22">
        <f>IFERROR(IF(D2=0,0,ROUNDDOWN(15.9803*(D2-3.8)^1.04,0)),0)</f>
        <v>673</v>
      </c>
      <c r="F2" s="25">
        <v>12.6</v>
      </c>
      <c r="G2" s="23">
        <f>IF(F2="","",INT(19367.3/(F2-0.005)-815.117))</f>
        <v>722</v>
      </c>
      <c r="H2" s="3">
        <v>5.45</v>
      </c>
      <c r="I2" s="22">
        <f>IFERROR(IFERROR(IF(H2=0,0,ROUNDDOWN(0.188807*(100*H2-210)^1.41,0)),0),0)</f>
        <v>686</v>
      </c>
      <c r="J2" s="3">
        <v>1.58</v>
      </c>
      <c r="K2" s="22">
        <f>IFERROR(IF(J2=0,0,ROUNDDOWN(1.84523*(100*J2-75)^1.348,0)),0)</f>
        <v>712</v>
      </c>
      <c r="L2" s="4">
        <v>1.8530092592592591E-3</v>
      </c>
      <c r="M2" s="22">
        <f>IFERROR(IF(L2=0,0,ROUNDDOWN(0.11193*(254-L2*86400)^1.88,0)),0)</f>
        <v>572</v>
      </c>
      <c r="N2" s="21">
        <f>SUM(G2,M2,I2,K2,E2)</f>
        <v>3365</v>
      </c>
      <c r="O2" s="9">
        <f>SUM(N2-$N$2)</f>
        <v>0</v>
      </c>
    </row>
    <row r="3" spans="1:15" ht="15.75" x14ac:dyDescent="0.45">
      <c r="A3" s="1">
        <f>RANK($N3,$N$2:$N$5)</f>
        <v>2</v>
      </c>
      <c r="B3" s="26">
        <v>72</v>
      </c>
      <c r="C3" s="26" t="s">
        <v>14</v>
      </c>
      <c r="D3" s="3">
        <v>36.33</v>
      </c>
      <c r="E3" s="22">
        <f>IFERROR(IF(D3=0,0,ROUNDDOWN(15.9803*(D3-3.8)^1.04,0)),0)</f>
        <v>597</v>
      </c>
      <c r="F3" s="25">
        <v>13.2</v>
      </c>
      <c r="G3" s="23">
        <f>IF(F3="","",INT(19367.3/(F3-0.005)-815.117))</f>
        <v>652</v>
      </c>
      <c r="H3" s="3">
        <v>4.66</v>
      </c>
      <c r="I3" s="22">
        <f>IFERROR(IFERROR(IF(H3=0,0,ROUNDDOWN(0.188807*(100*H3-210)^1.41,0)),0),0)</f>
        <v>469</v>
      </c>
      <c r="J3" s="3">
        <v>1.52</v>
      </c>
      <c r="K3" s="22">
        <f>IFERROR(IF(J3=0,0,ROUNDDOWN(1.84523*(100*J3-75)^1.348,0)),0)</f>
        <v>644</v>
      </c>
      <c r="L3" s="4">
        <v>1.8206018518518519E-3</v>
      </c>
      <c r="M3" s="22">
        <f>IFERROR(IF(L3=0,0,ROUNDDOWN(0.11193*(254-L3*86400)^1.88,0)),0)</f>
        <v>604</v>
      </c>
      <c r="N3" s="21">
        <f>SUM(G3,M3,I3,K3,E3)</f>
        <v>2966</v>
      </c>
      <c r="O3" s="9">
        <f>SUM(N3-$N$2)</f>
        <v>-399</v>
      </c>
    </row>
    <row r="4" spans="1:15" ht="15.75" x14ac:dyDescent="0.45">
      <c r="A4" s="1">
        <f>RANK($N4,$N$2:$N$5)</f>
        <v>3</v>
      </c>
      <c r="B4" s="26">
        <v>73</v>
      </c>
      <c r="C4" s="26" t="s">
        <v>27</v>
      </c>
      <c r="D4" s="3">
        <v>10.39</v>
      </c>
      <c r="E4" s="22">
        <f>IFERROR(IF(D4=0,0,ROUNDDOWN(15.9803*(D4-3.8)^1.04,0)),0)</f>
        <v>113</v>
      </c>
      <c r="F4" s="25">
        <v>15</v>
      </c>
      <c r="G4" s="23">
        <f>IF(F4="","",INT(19367.3/(F4-0.005)-815.117))</f>
        <v>476</v>
      </c>
      <c r="H4" s="3">
        <v>5.03</v>
      </c>
      <c r="I4" s="22">
        <f>IFERROR(IFERROR(IF(H4=0,0,ROUNDDOWN(0.188807*(100*H4-210)^1.41,0)),0),0)</f>
        <v>567</v>
      </c>
      <c r="J4" s="3">
        <v>1.43</v>
      </c>
      <c r="K4" s="22">
        <f>IFERROR(IF(J4=0,0,ROUNDDOWN(1.84523*(100*J4-75)^1.348,0)),0)</f>
        <v>544</v>
      </c>
      <c r="L4" s="4">
        <v>1.6712962962962964E-3</v>
      </c>
      <c r="M4" s="22">
        <f>IFERROR(IF(L4=0,0,ROUNDDOWN(0.11193*(254-L4*86400)^1.88,0)),0)</f>
        <v>765</v>
      </c>
      <c r="N4" s="21">
        <f>SUM(G4,M4,I4,K4,E4)</f>
        <v>2465</v>
      </c>
      <c r="O4" s="9">
        <f>SUM(N4-$N$2)</f>
        <v>-900</v>
      </c>
    </row>
    <row r="5" spans="1:15" ht="15.75" x14ac:dyDescent="0.45">
      <c r="A5" s="1">
        <f>RANK($N5,$N$2:$N$5)</f>
        <v>4</v>
      </c>
      <c r="B5" s="26">
        <v>71</v>
      </c>
      <c r="C5" s="26" t="s">
        <v>61</v>
      </c>
      <c r="D5" s="3">
        <v>19.64</v>
      </c>
      <c r="E5" s="22">
        <f>IFERROR(IF(D5=0,0,ROUNDDOWN(15.9803*(D5-3.8)^1.04,0)),0)</f>
        <v>282</v>
      </c>
      <c r="F5" s="25">
        <v>13.3</v>
      </c>
      <c r="G5" s="23">
        <f>IF(F5="","",INT(19367.3/(F5-0.005)-815.117))</f>
        <v>641</v>
      </c>
      <c r="H5" s="3">
        <v>4.58</v>
      </c>
      <c r="I5" s="22">
        <f>IFERROR(IFERROR(IF(H5=0,0,ROUNDDOWN(0.188807*(100*H5-210)^1.41,0)),0),0)</f>
        <v>448</v>
      </c>
      <c r="J5" s="3">
        <v>1.37</v>
      </c>
      <c r="K5" s="22">
        <f>IFERROR(IF(J5=0,0,ROUNDDOWN(1.84523*(100*J5-75)^1.348,0)),0)</f>
        <v>481</v>
      </c>
      <c r="L5" s="4">
        <v>2.1331018518518522E-3</v>
      </c>
      <c r="M5" s="22">
        <f>IFERROR(IF(L5=0,0,ROUNDDOWN(0.11193*(254-L5*86400)^1.88,0)),0)</f>
        <v>326</v>
      </c>
      <c r="N5" s="21">
        <f>SUM(G5,M5,I5,K5,E5)</f>
        <v>2178</v>
      </c>
      <c r="O5" s="9">
        <f>SUM(N5-$N$2)</f>
        <v>-1187</v>
      </c>
    </row>
  </sheetData>
  <sortState xmlns:xlrd2="http://schemas.microsoft.com/office/spreadsheetml/2017/richdata2" ref="A2:O5">
    <sortCondition descending="1" ref="N2:N5"/>
  </sortState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D636-D68D-491D-A52C-1905B4589E0A}">
  <sheetPr>
    <pageSetUpPr fitToPage="1"/>
  </sheetPr>
  <dimension ref="A1:O15"/>
  <sheetViews>
    <sheetView workbookViewId="0">
      <selection activeCell="N4" sqref="N4"/>
    </sheetView>
  </sheetViews>
  <sheetFormatPr defaultColWidth="9" defaultRowHeight="14.25" x14ac:dyDescent="0.45"/>
  <cols>
    <col min="1" max="2" width="9" style="24"/>
    <col min="3" max="3" width="22" style="24" customWidth="1"/>
    <col min="4" max="14" width="9" style="24"/>
    <col min="15" max="15" width="13.3984375" style="24" customWidth="1"/>
    <col min="16" max="16384" width="9" style="24"/>
  </cols>
  <sheetData>
    <row r="1" spans="1:15" ht="27.75" x14ac:dyDescent="0.45">
      <c r="A1" s="1" t="s">
        <v>9</v>
      </c>
      <c r="B1" s="7" t="s">
        <v>12</v>
      </c>
      <c r="C1" s="7" t="s">
        <v>10</v>
      </c>
      <c r="D1" s="7" t="s">
        <v>0</v>
      </c>
      <c r="E1" s="1" t="s">
        <v>7</v>
      </c>
      <c r="F1" s="7" t="s">
        <v>4</v>
      </c>
      <c r="G1" s="1" t="s">
        <v>7</v>
      </c>
      <c r="H1" s="7" t="s">
        <v>3</v>
      </c>
      <c r="I1" s="1" t="s">
        <v>7</v>
      </c>
      <c r="J1" s="7" t="s">
        <v>2</v>
      </c>
      <c r="K1" s="1" t="s">
        <v>7</v>
      </c>
      <c r="L1" s="7" t="s">
        <v>1</v>
      </c>
      <c r="M1" s="1" t="s">
        <v>7</v>
      </c>
      <c r="N1" s="1" t="s">
        <v>8</v>
      </c>
      <c r="O1" s="13" t="s">
        <v>11</v>
      </c>
    </row>
    <row r="2" spans="1:15" x14ac:dyDescent="0.45">
      <c r="A2" s="1">
        <f t="shared" ref="A2:A15" si="0">RANK($N2,$N$2:$N$15)</f>
        <v>1</v>
      </c>
      <c r="B2" s="26">
        <v>42</v>
      </c>
      <c r="C2" s="26" t="s">
        <v>28</v>
      </c>
      <c r="D2" s="25">
        <v>12.7</v>
      </c>
      <c r="E2" s="23">
        <f t="shared" ref="E2:E14" si="1">IF(D2="","",INT(19367.3/(D2+0.995)-815.117))</f>
        <v>599</v>
      </c>
      <c r="F2" s="3">
        <v>6.72</v>
      </c>
      <c r="G2" s="12">
        <v>317</v>
      </c>
      <c r="H2" s="3">
        <v>1.55</v>
      </c>
      <c r="I2" s="12">
        <v>678</v>
      </c>
      <c r="J2" s="3">
        <v>4.6900000000000004</v>
      </c>
      <c r="K2" s="12">
        <v>477</v>
      </c>
      <c r="L2" s="4">
        <v>1.8101851851851853E-3</v>
      </c>
      <c r="M2" s="14">
        <v>615</v>
      </c>
      <c r="N2" s="10">
        <f t="shared" ref="N2:N15" si="2">SUM(E2,M2,K2,I2,G2)</f>
        <v>2686</v>
      </c>
      <c r="O2" s="9">
        <f t="shared" ref="O2:O15" si="3">SUM(N2-$N$2)</f>
        <v>0</v>
      </c>
    </row>
    <row r="3" spans="1:15" x14ac:dyDescent="0.45">
      <c r="A3" s="1">
        <f t="shared" si="0"/>
        <v>2</v>
      </c>
      <c r="B3" s="26">
        <v>38</v>
      </c>
      <c r="C3" s="26" t="s">
        <v>52</v>
      </c>
      <c r="D3" s="25">
        <v>12.3</v>
      </c>
      <c r="E3" s="23">
        <f t="shared" si="1"/>
        <v>641</v>
      </c>
      <c r="F3" s="3">
        <v>8.19</v>
      </c>
      <c r="G3" s="12">
        <v>412</v>
      </c>
      <c r="H3" s="3">
        <v>1.34</v>
      </c>
      <c r="I3" s="12">
        <v>449</v>
      </c>
      <c r="J3" s="3">
        <v>4.72</v>
      </c>
      <c r="K3" s="12">
        <v>485</v>
      </c>
      <c r="L3" s="4">
        <v>1.7604166666666666E-3</v>
      </c>
      <c r="M3" s="14">
        <v>667</v>
      </c>
      <c r="N3" s="10">
        <f t="shared" si="2"/>
        <v>2654</v>
      </c>
      <c r="O3" s="9">
        <f t="shared" si="3"/>
        <v>-32</v>
      </c>
    </row>
    <row r="4" spans="1:15" x14ac:dyDescent="0.45">
      <c r="A4" s="1">
        <f t="shared" si="0"/>
        <v>3</v>
      </c>
      <c r="B4" s="26">
        <v>39</v>
      </c>
      <c r="C4" s="26" t="s">
        <v>17</v>
      </c>
      <c r="D4" s="25">
        <v>13.6</v>
      </c>
      <c r="E4" s="23">
        <f t="shared" si="1"/>
        <v>511</v>
      </c>
      <c r="F4" s="3">
        <v>7.71</v>
      </c>
      <c r="G4" s="12">
        <v>381</v>
      </c>
      <c r="H4" s="3">
        <v>1.58</v>
      </c>
      <c r="I4" s="12">
        <v>712</v>
      </c>
      <c r="J4" s="3">
        <v>4.55</v>
      </c>
      <c r="K4" s="12">
        <v>441</v>
      </c>
      <c r="L4" s="4">
        <v>1.917824074074074E-3</v>
      </c>
      <c r="M4" s="14">
        <v>509</v>
      </c>
      <c r="N4" s="10">
        <f t="shared" si="2"/>
        <v>2554</v>
      </c>
      <c r="O4" s="9">
        <f t="shared" si="3"/>
        <v>-132</v>
      </c>
    </row>
    <row r="5" spans="1:15" x14ac:dyDescent="0.45">
      <c r="A5" s="1">
        <f t="shared" si="0"/>
        <v>4</v>
      </c>
      <c r="B5" s="26">
        <v>32</v>
      </c>
      <c r="C5" s="26" t="s">
        <v>47</v>
      </c>
      <c r="D5" s="25">
        <v>12.3</v>
      </c>
      <c r="E5" s="23">
        <f t="shared" si="1"/>
        <v>641</v>
      </c>
      <c r="F5" s="3">
        <v>6.95</v>
      </c>
      <c r="G5" s="12">
        <v>332</v>
      </c>
      <c r="H5" s="3">
        <v>1.52</v>
      </c>
      <c r="I5" s="12">
        <v>644</v>
      </c>
      <c r="J5" s="3">
        <v>4.2699999999999996</v>
      </c>
      <c r="K5" s="12">
        <v>371</v>
      </c>
      <c r="L5" s="4">
        <v>1.8993055555555556E-3</v>
      </c>
      <c r="M5" s="14">
        <v>527</v>
      </c>
      <c r="N5" s="10">
        <f t="shared" si="2"/>
        <v>2515</v>
      </c>
      <c r="O5" s="9">
        <f t="shared" si="3"/>
        <v>-171</v>
      </c>
    </row>
    <row r="6" spans="1:15" x14ac:dyDescent="0.45">
      <c r="A6" s="1">
        <f t="shared" si="0"/>
        <v>5</v>
      </c>
      <c r="B6" s="26">
        <v>34</v>
      </c>
      <c r="C6" s="26" t="s">
        <v>49</v>
      </c>
      <c r="D6" s="25">
        <v>12.2</v>
      </c>
      <c r="E6" s="23">
        <f t="shared" si="1"/>
        <v>652</v>
      </c>
      <c r="F6" s="3">
        <v>6.19</v>
      </c>
      <c r="G6" s="12">
        <v>283</v>
      </c>
      <c r="H6" s="3">
        <v>1.31</v>
      </c>
      <c r="I6" s="12">
        <v>419</v>
      </c>
      <c r="J6" s="3">
        <v>4.5</v>
      </c>
      <c r="K6" s="12">
        <v>428</v>
      </c>
      <c r="L6" s="4">
        <v>1.9039351851851852E-3</v>
      </c>
      <c r="M6" s="14">
        <v>522</v>
      </c>
      <c r="N6" s="10">
        <f t="shared" si="2"/>
        <v>2304</v>
      </c>
      <c r="O6" s="9">
        <f t="shared" si="3"/>
        <v>-382</v>
      </c>
    </row>
    <row r="7" spans="1:15" x14ac:dyDescent="0.45">
      <c r="A7" s="1">
        <f t="shared" si="0"/>
        <v>6</v>
      </c>
      <c r="B7" s="26">
        <v>37</v>
      </c>
      <c r="C7" s="26" t="s">
        <v>51</v>
      </c>
      <c r="D7" s="25">
        <v>13.1</v>
      </c>
      <c r="E7" s="23">
        <f t="shared" si="1"/>
        <v>558</v>
      </c>
      <c r="F7" s="3">
        <v>6.89</v>
      </c>
      <c r="G7" s="12">
        <v>328</v>
      </c>
      <c r="H7" s="3">
        <v>1.37</v>
      </c>
      <c r="I7" s="12">
        <v>481</v>
      </c>
      <c r="J7" s="3">
        <v>4.0599999999999996</v>
      </c>
      <c r="K7" s="12">
        <v>322</v>
      </c>
      <c r="L7" s="4">
        <v>1.8599537037037035E-3</v>
      </c>
      <c r="M7" s="14">
        <v>565</v>
      </c>
      <c r="N7" s="10">
        <f t="shared" si="2"/>
        <v>2254</v>
      </c>
      <c r="O7" s="9">
        <f t="shared" si="3"/>
        <v>-432</v>
      </c>
    </row>
    <row r="8" spans="1:15" x14ac:dyDescent="0.45">
      <c r="A8" s="1">
        <f t="shared" si="0"/>
        <v>7</v>
      </c>
      <c r="B8" s="26">
        <v>31</v>
      </c>
      <c r="C8" s="26" t="s">
        <v>20</v>
      </c>
      <c r="D8" s="25">
        <v>13</v>
      </c>
      <c r="E8" s="23">
        <f t="shared" si="1"/>
        <v>568</v>
      </c>
      <c r="F8" s="3">
        <v>5.71</v>
      </c>
      <c r="G8" s="12">
        <v>253</v>
      </c>
      <c r="H8" s="3">
        <v>1.37</v>
      </c>
      <c r="I8" s="12">
        <v>481</v>
      </c>
      <c r="J8" s="3">
        <v>4.42</v>
      </c>
      <c r="K8" s="12">
        <v>408</v>
      </c>
      <c r="L8" s="4">
        <v>1.917824074074074E-3</v>
      </c>
      <c r="M8" s="14">
        <v>509</v>
      </c>
      <c r="N8" s="10">
        <f t="shared" si="2"/>
        <v>2219</v>
      </c>
      <c r="O8" s="9">
        <f t="shared" si="3"/>
        <v>-467</v>
      </c>
    </row>
    <row r="9" spans="1:15" x14ac:dyDescent="0.45">
      <c r="A9" s="1">
        <f t="shared" si="0"/>
        <v>8</v>
      </c>
      <c r="B9" s="26">
        <v>36</v>
      </c>
      <c r="C9" s="26" t="s">
        <v>18</v>
      </c>
      <c r="D9" s="25">
        <v>14.6</v>
      </c>
      <c r="E9" s="23">
        <f t="shared" si="1"/>
        <v>426</v>
      </c>
      <c r="F9" s="3">
        <v>9.35</v>
      </c>
      <c r="G9" s="12">
        <v>487</v>
      </c>
      <c r="H9" s="3">
        <v>1.4</v>
      </c>
      <c r="I9" s="12">
        <v>512</v>
      </c>
      <c r="J9" s="3">
        <v>3.65</v>
      </c>
      <c r="K9" s="12">
        <v>231</v>
      </c>
      <c r="L9" s="4">
        <v>1.8645833333333333E-3</v>
      </c>
      <c r="M9" s="14">
        <v>560</v>
      </c>
      <c r="N9" s="10">
        <f t="shared" si="2"/>
        <v>2216</v>
      </c>
      <c r="O9" s="9">
        <f t="shared" si="3"/>
        <v>-470</v>
      </c>
    </row>
    <row r="10" spans="1:15" x14ac:dyDescent="0.45">
      <c r="A10" s="1">
        <f t="shared" si="0"/>
        <v>9</v>
      </c>
      <c r="B10" s="26">
        <v>40</v>
      </c>
      <c r="C10" s="26" t="s">
        <v>21</v>
      </c>
      <c r="D10" s="25">
        <v>13.4</v>
      </c>
      <c r="E10" s="23">
        <f t="shared" si="1"/>
        <v>530</v>
      </c>
      <c r="F10" s="3">
        <v>6.22</v>
      </c>
      <c r="G10" s="12">
        <v>285</v>
      </c>
      <c r="H10" s="3">
        <v>1.31</v>
      </c>
      <c r="I10" s="12">
        <v>419</v>
      </c>
      <c r="J10" s="3">
        <v>4.3499999999999996</v>
      </c>
      <c r="K10" s="12">
        <v>391</v>
      </c>
      <c r="L10" s="4">
        <v>1.8356481481481481E-3</v>
      </c>
      <c r="M10" s="14">
        <v>589</v>
      </c>
      <c r="N10" s="10">
        <f t="shared" si="2"/>
        <v>2214</v>
      </c>
      <c r="O10" s="9">
        <f t="shared" si="3"/>
        <v>-472</v>
      </c>
    </row>
    <row r="11" spans="1:15" x14ac:dyDescent="0.45">
      <c r="A11" s="1">
        <f t="shared" si="0"/>
        <v>10</v>
      </c>
      <c r="B11" s="26">
        <v>33</v>
      </c>
      <c r="C11" s="26" t="s">
        <v>48</v>
      </c>
      <c r="D11" s="25">
        <v>12.7</v>
      </c>
      <c r="E11" s="23">
        <f t="shared" si="1"/>
        <v>599</v>
      </c>
      <c r="F11" s="3">
        <v>6.39</v>
      </c>
      <c r="G11" s="12">
        <v>296</v>
      </c>
      <c r="H11" s="3">
        <v>1.31</v>
      </c>
      <c r="I11" s="12">
        <v>419</v>
      </c>
      <c r="J11" s="3">
        <v>4</v>
      </c>
      <c r="K11" s="12">
        <v>308</v>
      </c>
      <c r="L11" s="4">
        <v>1.8703703703703703E-3</v>
      </c>
      <c r="M11" s="14">
        <v>555</v>
      </c>
      <c r="N11" s="10">
        <f t="shared" si="2"/>
        <v>2177</v>
      </c>
      <c r="O11" s="9">
        <f t="shared" si="3"/>
        <v>-509</v>
      </c>
    </row>
    <row r="12" spans="1:15" x14ac:dyDescent="0.45">
      <c r="A12" s="1">
        <f t="shared" si="0"/>
        <v>11</v>
      </c>
      <c r="B12" s="26">
        <v>44</v>
      </c>
      <c r="C12" s="26" t="s">
        <v>23</v>
      </c>
      <c r="D12" s="25">
        <v>17.2</v>
      </c>
      <c r="E12" s="23">
        <f t="shared" si="1"/>
        <v>249</v>
      </c>
      <c r="F12" s="3">
        <v>6.57</v>
      </c>
      <c r="G12" s="12">
        <v>308</v>
      </c>
      <c r="H12" s="3">
        <v>1.31</v>
      </c>
      <c r="I12" s="12">
        <v>419</v>
      </c>
      <c r="J12" s="3">
        <v>4.01</v>
      </c>
      <c r="K12" s="12">
        <v>310</v>
      </c>
      <c r="L12" s="4">
        <v>1.8958333333333336E-3</v>
      </c>
      <c r="M12" s="14">
        <v>530</v>
      </c>
      <c r="N12" s="10">
        <f t="shared" si="2"/>
        <v>1816</v>
      </c>
      <c r="O12" s="9">
        <f t="shared" si="3"/>
        <v>-870</v>
      </c>
    </row>
    <row r="13" spans="1:15" x14ac:dyDescent="0.45">
      <c r="A13" s="1">
        <f t="shared" si="0"/>
        <v>12</v>
      </c>
      <c r="B13" s="26">
        <v>30</v>
      </c>
      <c r="C13" s="26" t="s">
        <v>19</v>
      </c>
      <c r="D13" s="25">
        <v>17.600000000000001</v>
      </c>
      <c r="E13" s="23">
        <f t="shared" si="1"/>
        <v>226</v>
      </c>
      <c r="F13" s="3">
        <v>7.42</v>
      </c>
      <c r="G13" s="12">
        <v>362</v>
      </c>
      <c r="H13" s="3">
        <v>1.31</v>
      </c>
      <c r="I13" s="12">
        <v>419</v>
      </c>
      <c r="J13" s="3">
        <v>3.69</v>
      </c>
      <c r="K13" s="12">
        <v>239</v>
      </c>
      <c r="L13" s="4">
        <v>2.3009259259259259E-3</v>
      </c>
      <c r="M13" s="14">
        <v>210</v>
      </c>
      <c r="N13" s="10">
        <f t="shared" si="2"/>
        <v>1456</v>
      </c>
      <c r="O13" s="9">
        <f t="shared" si="3"/>
        <v>-1230</v>
      </c>
    </row>
    <row r="14" spans="1:15" x14ac:dyDescent="0.45">
      <c r="A14" s="1">
        <f t="shared" si="0"/>
        <v>13</v>
      </c>
      <c r="B14" s="26">
        <v>41</v>
      </c>
      <c r="C14" s="26" t="s">
        <v>64</v>
      </c>
      <c r="D14" s="25">
        <v>15.9</v>
      </c>
      <c r="E14" s="23">
        <f t="shared" si="1"/>
        <v>331</v>
      </c>
      <c r="F14" s="3">
        <v>6.48</v>
      </c>
      <c r="G14" s="12">
        <v>302</v>
      </c>
      <c r="H14" s="3" t="s">
        <v>34</v>
      </c>
      <c r="I14" s="12">
        <v>0</v>
      </c>
      <c r="J14" s="3">
        <v>3.89</v>
      </c>
      <c r="K14" s="12">
        <v>283</v>
      </c>
      <c r="L14" s="4" t="s">
        <v>34</v>
      </c>
      <c r="M14" s="14">
        <v>0</v>
      </c>
      <c r="N14" s="10">
        <f t="shared" si="2"/>
        <v>916</v>
      </c>
      <c r="O14" s="9">
        <f t="shared" si="3"/>
        <v>-1770</v>
      </c>
    </row>
    <row r="15" spans="1:15" x14ac:dyDescent="0.45">
      <c r="A15" s="1">
        <f t="shared" si="0"/>
        <v>14</v>
      </c>
      <c r="B15" s="26">
        <v>35</v>
      </c>
      <c r="C15" s="26" t="s">
        <v>50</v>
      </c>
      <c r="D15" s="25" t="s">
        <v>34</v>
      </c>
      <c r="E15" s="23">
        <v>0</v>
      </c>
      <c r="F15" s="3" t="s">
        <v>34</v>
      </c>
      <c r="G15" s="12">
        <v>0</v>
      </c>
      <c r="H15" s="3" t="s">
        <v>34</v>
      </c>
      <c r="I15" s="12">
        <v>0</v>
      </c>
      <c r="J15" s="3">
        <v>4.1100000000000003</v>
      </c>
      <c r="K15" s="12">
        <v>333</v>
      </c>
      <c r="L15" s="4" t="s">
        <v>34</v>
      </c>
      <c r="M15" s="14">
        <v>0</v>
      </c>
      <c r="N15" s="10">
        <f t="shared" si="2"/>
        <v>333</v>
      </c>
      <c r="O15" s="9">
        <f t="shared" si="3"/>
        <v>-2353</v>
      </c>
    </row>
  </sheetData>
  <sortState xmlns:xlrd2="http://schemas.microsoft.com/office/spreadsheetml/2017/richdata2" ref="A2:O15">
    <sortCondition descending="1" ref="N2:N15"/>
  </sortState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AAAC-1A27-47B1-8E10-B75FE7379340}">
  <sheetPr>
    <pageSetUpPr fitToPage="1"/>
  </sheetPr>
  <dimension ref="A1:O4"/>
  <sheetViews>
    <sheetView workbookViewId="0">
      <selection activeCell="I19" sqref="I19"/>
    </sheetView>
  </sheetViews>
  <sheetFormatPr defaultColWidth="9" defaultRowHeight="14.25" x14ac:dyDescent="0.45"/>
  <cols>
    <col min="1" max="2" width="9" style="24"/>
    <col min="3" max="3" width="21.3984375" style="24" bestFit="1" customWidth="1"/>
    <col min="4" max="12" width="9" style="24"/>
    <col min="13" max="13" width="11.73046875" style="24" bestFit="1" customWidth="1"/>
    <col min="14" max="14" width="0.3984375" style="24" customWidth="1"/>
    <col min="15" max="15" width="9" style="24" hidden="1" customWidth="1"/>
    <col min="16" max="16384" width="9" style="24"/>
  </cols>
  <sheetData>
    <row r="1" spans="1:13" ht="41.65" customHeight="1" x14ac:dyDescent="0.45">
      <c r="A1" s="1" t="s">
        <v>9</v>
      </c>
      <c r="B1" s="7" t="s">
        <v>12</v>
      </c>
      <c r="C1" s="7" t="s">
        <v>10</v>
      </c>
      <c r="D1" s="7" t="s">
        <v>0</v>
      </c>
      <c r="E1" s="1" t="s">
        <v>7</v>
      </c>
      <c r="F1" s="7" t="s">
        <v>2</v>
      </c>
      <c r="G1" s="1" t="s">
        <v>7</v>
      </c>
      <c r="H1" s="7" t="s">
        <v>4</v>
      </c>
      <c r="I1" s="1" t="s">
        <v>7</v>
      </c>
      <c r="J1" s="7" t="s">
        <v>1</v>
      </c>
      <c r="K1" s="1" t="s">
        <v>7</v>
      </c>
      <c r="L1" s="1" t="s">
        <v>8</v>
      </c>
      <c r="M1" s="13" t="s">
        <v>11</v>
      </c>
    </row>
    <row r="2" spans="1:13" ht="20.100000000000001" customHeight="1" x14ac:dyDescent="0.45">
      <c r="A2" s="1">
        <f>RANK($L2,$L$2:$L$4)</f>
        <v>1</v>
      </c>
      <c r="B2" s="26">
        <v>4</v>
      </c>
      <c r="C2" s="26" t="s">
        <v>22</v>
      </c>
      <c r="D2" s="25">
        <v>12.7</v>
      </c>
      <c r="E2" s="23">
        <f>IF(D2="","",INT(19367.3/(D2+1.995)-815.117))</f>
        <v>502</v>
      </c>
      <c r="F2" s="3">
        <v>4.32</v>
      </c>
      <c r="G2" s="12">
        <v>384</v>
      </c>
      <c r="H2" s="3">
        <v>5.61</v>
      </c>
      <c r="I2" s="12">
        <v>247</v>
      </c>
      <c r="J2" s="4">
        <v>1.652777777777778E-3</v>
      </c>
      <c r="K2" s="14">
        <v>786</v>
      </c>
      <c r="L2" s="10">
        <f>SUM(E2,K2,G2,I2)</f>
        <v>1919</v>
      </c>
      <c r="M2" s="9">
        <f>SUM(L2-$L$2)</f>
        <v>0</v>
      </c>
    </row>
    <row r="3" spans="1:13" ht="20.100000000000001" customHeight="1" x14ac:dyDescent="0.45">
      <c r="A3" s="1">
        <f>RANK($L3,$L$2:$L$4)</f>
        <v>2</v>
      </c>
      <c r="B3" s="26">
        <v>1</v>
      </c>
      <c r="C3" s="26" t="s">
        <v>35</v>
      </c>
      <c r="D3" s="25">
        <v>12.5</v>
      </c>
      <c r="E3" s="23">
        <f>IF(D3="","",INT(19367.3/(D3+1.995)-815.117))</f>
        <v>521</v>
      </c>
      <c r="F3" s="3">
        <v>3.88</v>
      </c>
      <c r="G3" s="12">
        <v>281</v>
      </c>
      <c r="H3" s="3">
        <v>5.65</v>
      </c>
      <c r="I3" s="12">
        <v>249</v>
      </c>
      <c r="J3" s="4">
        <v>1.8599537037037035E-3</v>
      </c>
      <c r="K3" s="14">
        <v>565</v>
      </c>
      <c r="L3" s="10">
        <f>SUM(E3,K3,G3,I3)</f>
        <v>1616</v>
      </c>
      <c r="M3" s="9">
        <f>SUM(L3-$L$2)</f>
        <v>-303</v>
      </c>
    </row>
    <row r="4" spans="1:13" ht="20.100000000000001" customHeight="1" x14ac:dyDescent="0.45">
      <c r="A4" s="1">
        <f>RANK($L4,$L$2:$L$4)</f>
        <v>3</v>
      </c>
      <c r="B4" s="26">
        <v>3</v>
      </c>
      <c r="C4" s="26" t="s">
        <v>36</v>
      </c>
      <c r="D4" s="25">
        <v>14.9</v>
      </c>
      <c r="E4" s="23">
        <f>IF(D4="","",INT(19367.3/(D4+1.995)-815.117))</f>
        <v>331</v>
      </c>
      <c r="F4" s="3">
        <v>3.85</v>
      </c>
      <c r="G4" s="12">
        <v>274</v>
      </c>
      <c r="H4" s="3">
        <v>4.93</v>
      </c>
      <c r="I4" s="12">
        <v>204</v>
      </c>
      <c r="J4" s="4">
        <v>2.0590277777777777E-3</v>
      </c>
      <c r="K4" s="14">
        <v>385</v>
      </c>
      <c r="L4" s="10">
        <f>SUM(E4,K4,G4,I4)</f>
        <v>1194</v>
      </c>
      <c r="M4" s="9">
        <f>SUM(L4-$L$2)</f>
        <v>-725</v>
      </c>
    </row>
  </sheetData>
  <sortState xmlns:xlrd2="http://schemas.microsoft.com/office/spreadsheetml/2017/richdata2" ref="A2:O4">
    <sortCondition descending="1" ref="L2:L4"/>
  </sortState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U17 Boys</vt:lpstr>
      <vt:lpstr>U15 Boys</vt:lpstr>
      <vt:lpstr>U13 Boys</vt:lpstr>
      <vt:lpstr>U17 Girls</vt:lpstr>
      <vt:lpstr>U15 Girls</vt:lpstr>
      <vt:lpstr>U13 Girls</vt:lpstr>
    </vt:vector>
  </TitlesOfParts>
  <Company>Alpha Plus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Kidd</dc:creator>
  <cp:lastModifiedBy>James Kidd</cp:lastModifiedBy>
  <cp:lastPrinted>2025-05-28T15:42:36Z</cp:lastPrinted>
  <dcterms:created xsi:type="dcterms:W3CDTF">2023-04-05T13:37:41Z</dcterms:created>
  <dcterms:modified xsi:type="dcterms:W3CDTF">2025-05-28T20:18:44Z</dcterms:modified>
</cp:coreProperties>
</file>