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alphaplusgroupco-my.sharepoint.com/personal/james_kidd_dld_org/Documents/Personal/SSAA items/2024 items/CE items/Open/"/>
    </mc:Choice>
  </mc:AlternateContent>
  <xr:revisionPtr revIDLastSave="17" documentId="8_{088DD262-7840-44B6-852F-132B47AC0CA0}" xr6:coauthVersionLast="47" xr6:coauthVersionMax="47" xr10:uidLastSave="{E90A7A86-4AEE-45AD-8F50-9AC6444F4E10}"/>
  <bookViews>
    <workbookView xWindow="-98" yWindow="-98" windowWidth="21795" windowHeight="13996" activeTab="5" xr2:uid="{7A9185F1-D130-469E-AA9C-D8A7110FCBEA}"/>
  </bookViews>
  <sheets>
    <sheet name="U17 Boys" sheetId="11" r:id="rId1"/>
    <sheet name="U15 Boys" sheetId="2" r:id="rId2"/>
    <sheet name="U13 Boys" sheetId="5" r:id="rId3"/>
    <sheet name="U17 Girls" sheetId="6" r:id="rId4"/>
    <sheet name="U15 Girls" sheetId="7" r:id="rId5"/>
    <sheet name="U13 Girl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1" l="1"/>
  <c r="F7" i="11"/>
  <c r="O7" i="11" s="1"/>
  <c r="N6" i="11"/>
  <c r="J6" i="11"/>
  <c r="H6" i="11"/>
  <c r="F6" i="11"/>
  <c r="O6" i="11" s="1"/>
  <c r="N5" i="11"/>
  <c r="J5" i="11"/>
  <c r="H5" i="11"/>
  <c r="F5" i="11"/>
  <c r="O5" i="11" s="1"/>
  <c r="N4" i="11"/>
  <c r="J4" i="11"/>
  <c r="H4" i="11"/>
  <c r="F4" i="11"/>
  <c r="O4" i="11" s="1"/>
  <c r="N3" i="11"/>
  <c r="J3" i="11"/>
  <c r="H3" i="11"/>
  <c r="F3" i="11"/>
  <c r="O3" i="11" s="1"/>
  <c r="N2" i="11"/>
  <c r="J2" i="11"/>
  <c r="H2" i="11"/>
  <c r="F2" i="11"/>
  <c r="O2" i="11" s="1"/>
  <c r="F6" i="2"/>
  <c r="H6" i="2"/>
  <c r="J6" i="2"/>
  <c r="L6" i="2"/>
  <c r="N6" i="2"/>
  <c r="F9" i="2"/>
  <c r="H9" i="2"/>
  <c r="J9" i="2"/>
  <c r="L9" i="2"/>
  <c r="N9" i="2"/>
  <c r="H18" i="2"/>
  <c r="J18" i="2"/>
  <c r="L18" i="2"/>
  <c r="N18" i="2"/>
  <c r="F10" i="8"/>
  <c r="F9" i="8"/>
  <c r="F12" i="8"/>
  <c r="F13" i="8"/>
  <c r="F11" i="8"/>
  <c r="F6" i="8"/>
  <c r="F5" i="8"/>
  <c r="F14" i="8"/>
  <c r="F3" i="8"/>
  <c r="F4" i="8"/>
  <c r="F2" i="8"/>
  <c r="F8" i="8"/>
  <c r="F7" i="8"/>
  <c r="A4" i="11" l="1"/>
  <c r="A5" i="11"/>
  <c r="A6" i="11"/>
  <c r="A2" i="11"/>
  <c r="A3" i="11"/>
  <c r="O18" i="2"/>
  <c r="O9" i="2"/>
  <c r="O6" i="2"/>
  <c r="F7" i="7"/>
  <c r="F11" i="7"/>
  <c r="F9" i="7"/>
  <c r="F6" i="7"/>
  <c r="F12" i="7"/>
  <c r="F8" i="7"/>
  <c r="F2" i="7"/>
  <c r="F10" i="7"/>
  <c r="F4" i="7"/>
  <c r="F3" i="7"/>
  <c r="F5" i="7"/>
  <c r="H3" i="6"/>
  <c r="H6" i="6"/>
  <c r="H5" i="6"/>
  <c r="H2" i="6"/>
  <c r="H7" i="6"/>
  <c r="H4" i="6"/>
  <c r="F3" i="6"/>
  <c r="F6" i="6"/>
  <c r="F5" i="6"/>
  <c r="F2" i="6"/>
  <c r="F7" i="6"/>
  <c r="F4" i="6"/>
  <c r="L3" i="6"/>
  <c r="L6" i="6"/>
  <c r="L5" i="6"/>
  <c r="L2" i="6"/>
  <c r="L7" i="6"/>
  <c r="L4" i="6"/>
  <c r="J3" i="6"/>
  <c r="J6" i="6"/>
  <c r="J5" i="6"/>
  <c r="J2" i="6"/>
  <c r="J7" i="6"/>
  <c r="J4" i="6"/>
  <c r="N3" i="6"/>
  <c r="N6" i="6"/>
  <c r="N5" i="6"/>
  <c r="N2" i="6"/>
  <c r="N7" i="6"/>
  <c r="N4" i="6"/>
  <c r="N2" i="2"/>
  <c r="N11" i="2"/>
  <c r="N8" i="2"/>
  <c r="N5" i="2"/>
  <c r="N15" i="2"/>
  <c r="N17" i="2"/>
  <c r="N10" i="2"/>
  <c r="N12" i="2"/>
  <c r="N13" i="2"/>
  <c r="N7" i="2"/>
  <c r="N16" i="2"/>
  <c r="N4" i="2"/>
  <c r="N14" i="2"/>
  <c r="N3" i="2"/>
  <c r="L2" i="2"/>
  <c r="L11" i="2"/>
  <c r="L8" i="2"/>
  <c r="L5" i="2"/>
  <c r="L15" i="2"/>
  <c r="L17" i="2"/>
  <c r="L10" i="2"/>
  <c r="L12" i="2"/>
  <c r="L13" i="2"/>
  <c r="L7" i="2"/>
  <c r="L16" i="2"/>
  <c r="L4" i="2"/>
  <c r="L14" i="2"/>
  <c r="L3" i="2"/>
  <c r="J2" i="2"/>
  <c r="J11" i="2"/>
  <c r="J8" i="2"/>
  <c r="J5" i="2"/>
  <c r="J15" i="2"/>
  <c r="J17" i="2"/>
  <c r="J10" i="2"/>
  <c r="J12" i="2"/>
  <c r="J13" i="2"/>
  <c r="J7" i="2"/>
  <c r="J16" i="2"/>
  <c r="J4" i="2"/>
  <c r="J14" i="2"/>
  <c r="J3" i="2"/>
  <c r="H2" i="2"/>
  <c r="H11" i="2"/>
  <c r="H8" i="2"/>
  <c r="H5" i="2"/>
  <c r="H15" i="2"/>
  <c r="H17" i="2"/>
  <c r="H10" i="2"/>
  <c r="H12" i="2"/>
  <c r="H13" i="2"/>
  <c r="H7" i="2"/>
  <c r="H16" i="2"/>
  <c r="H4" i="2"/>
  <c r="H14" i="2"/>
  <c r="H3" i="2"/>
  <c r="F2" i="2"/>
  <c r="F11" i="2"/>
  <c r="F8" i="2"/>
  <c r="F5" i="2"/>
  <c r="F15" i="2"/>
  <c r="F10" i="2"/>
  <c r="F12" i="2"/>
  <c r="F13" i="2"/>
  <c r="F7" i="2"/>
  <c r="F16" i="2"/>
  <c r="F4" i="2"/>
  <c r="F14" i="2"/>
  <c r="F3" i="2"/>
  <c r="J7" i="8"/>
  <c r="J8" i="8"/>
  <c r="J2" i="8"/>
  <c r="J4" i="8"/>
  <c r="J3" i="8"/>
  <c r="J14" i="8"/>
  <c r="J5" i="8"/>
  <c r="J6" i="8"/>
  <c r="J11" i="8"/>
  <c r="J13" i="8"/>
  <c r="J12" i="8"/>
  <c r="J9" i="8"/>
  <c r="J10" i="8"/>
  <c r="J5" i="5"/>
  <c r="J6" i="5"/>
  <c r="J4" i="5"/>
  <c r="J2" i="5"/>
  <c r="J7" i="5"/>
  <c r="J3" i="5"/>
  <c r="H5" i="5"/>
  <c r="H6" i="5"/>
  <c r="H4" i="5"/>
  <c r="H2" i="5"/>
  <c r="H7" i="5"/>
  <c r="H3" i="5"/>
  <c r="F5" i="5"/>
  <c r="F6" i="5"/>
  <c r="F4" i="5"/>
  <c r="F2" i="5"/>
  <c r="F7" i="5"/>
  <c r="F3" i="5"/>
  <c r="O2" i="7" l="1"/>
  <c r="O12" i="2"/>
  <c r="O7" i="2"/>
  <c r="O5" i="2"/>
  <c r="O8" i="7"/>
  <c r="O2" i="2"/>
  <c r="O10" i="2"/>
  <c r="O3" i="7"/>
  <c r="O11" i="7"/>
  <c r="O4" i="7"/>
  <c r="O7" i="7"/>
  <c r="O12" i="7"/>
  <c r="O6" i="7"/>
  <c r="O9" i="7"/>
  <c r="O10" i="7"/>
  <c r="O14" i="2"/>
  <c r="M6" i="5"/>
  <c r="M5" i="5"/>
  <c r="M7" i="5"/>
  <c r="M4" i="8"/>
  <c r="M8" i="8"/>
  <c r="M11" i="8"/>
  <c r="M6" i="8"/>
  <c r="M5" i="8"/>
  <c r="M3" i="8"/>
  <c r="M10" i="8"/>
  <c r="M12" i="8"/>
  <c r="M13" i="8"/>
  <c r="M14" i="8"/>
  <c r="M2" i="8"/>
  <c r="M9" i="8"/>
  <c r="M7" i="8"/>
  <c r="M4" i="5"/>
  <c r="M3" i="5"/>
  <c r="M2" i="5"/>
  <c r="O3" i="2"/>
  <c r="O17" i="2"/>
  <c r="O11" i="2"/>
  <c r="O5" i="7"/>
  <c r="O4" i="6"/>
  <c r="O2" i="6"/>
  <c r="O5" i="6"/>
  <c r="O6" i="6"/>
  <c r="O3" i="6"/>
  <c r="O7" i="6"/>
  <c r="O16" i="2"/>
  <c r="O8" i="2"/>
  <c r="O13" i="2"/>
  <c r="O4" i="2"/>
  <c r="O15" i="2"/>
  <c r="A13" i="2" l="1"/>
  <c r="A10" i="2"/>
  <c r="A7" i="2"/>
  <c r="A12" i="2"/>
  <c r="A16" i="2"/>
  <c r="A14" i="2"/>
  <c r="A17" i="2"/>
  <c r="A8" i="2"/>
  <c r="A2" i="2"/>
  <c r="A4" i="2"/>
  <c r="A5" i="2"/>
  <c r="A7" i="7"/>
  <c r="A13" i="8"/>
  <c r="A11" i="8"/>
  <c r="A3" i="8"/>
  <c r="A5" i="8"/>
  <c r="A4" i="8"/>
  <c r="A7" i="8"/>
  <c r="A9" i="8"/>
  <c r="A10" i="8"/>
  <c r="A2" i="8"/>
  <c r="A12" i="8"/>
  <c r="A6" i="8"/>
  <c r="A8" i="8"/>
  <c r="A3" i="5"/>
  <c r="A7" i="5"/>
  <c r="A4" i="5"/>
  <c r="A2" i="5"/>
  <c r="A4" i="7"/>
  <c r="A10" i="7"/>
  <c r="A11" i="7"/>
  <c r="A6" i="7"/>
  <c r="A5" i="7"/>
  <c r="A8" i="7"/>
  <c r="A12" i="7"/>
  <c r="A2" i="7"/>
  <c r="A9" i="7"/>
  <c r="A3" i="7"/>
  <c r="A3" i="6"/>
  <c r="A2" i="6"/>
  <c r="A5" i="6"/>
  <c r="A6" i="6"/>
  <c r="A7" i="6"/>
  <c r="A4" i="6"/>
  <c r="A5" i="5"/>
  <c r="A6" i="5"/>
  <c r="A9" i="2" l="1"/>
  <c r="A18" i="2"/>
  <c r="A6" i="2"/>
  <c r="A3" i="2"/>
  <c r="A15" i="2"/>
  <c r="A11" i="2"/>
</calcChain>
</file>

<file path=xl/sharedStrings.xml><?xml version="1.0" encoding="utf-8"?>
<sst xmlns="http://schemas.openxmlformats.org/spreadsheetml/2006/main" count="211" uniqueCount="81">
  <si>
    <t>Hurdles</t>
  </si>
  <si>
    <t>800m</t>
  </si>
  <si>
    <t>Long</t>
  </si>
  <si>
    <t>High</t>
  </si>
  <si>
    <t>Shot</t>
  </si>
  <si>
    <t>1500m</t>
  </si>
  <si>
    <t>Javelin</t>
  </si>
  <si>
    <t>Points</t>
  </si>
  <si>
    <t>TOTAL</t>
  </si>
  <si>
    <t>RANK</t>
  </si>
  <si>
    <t>Name</t>
  </si>
  <si>
    <t>County</t>
  </si>
  <si>
    <t>Number</t>
  </si>
  <si>
    <t>Sussex</t>
  </si>
  <si>
    <t>Axel Ottosson</t>
  </si>
  <si>
    <t>Surrey</t>
  </si>
  <si>
    <t>Joshua Webster</t>
  </si>
  <si>
    <t>Middlesex</t>
  </si>
  <si>
    <t>Kent</t>
  </si>
  <si>
    <t>Emilia Singer</t>
  </si>
  <si>
    <t>Heidi Ely</t>
  </si>
  <si>
    <t>Keira Oxley</t>
  </si>
  <si>
    <t>Leila Newth</t>
  </si>
  <si>
    <t>Jack Staples</t>
  </si>
  <si>
    <t>Joe Timba</t>
  </si>
  <si>
    <t>Max Merriman</t>
  </si>
  <si>
    <t>Max Orchard</t>
  </si>
  <si>
    <t>Paul Nixon</t>
  </si>
  <si>
    <t>Dylan Parr</t>
  </si>
  <si>
    <t>Hampshire</t>
  </si>
  <si>
    <t>Berkshire</t>
  </si>
  <si>
    <t>Alexandra Koloutsos</t>
  </si>
  <si>
    <t>Fernanda Wolfson</t>
  </si>
  <si>
    <t>Isla Oxley</t>
  </si>
  <si>
    <t>Kitty Morgan</t>
  </si>
  <si>
    <t>Kristi Prifti</t>
  </si>
  <si>
    <t>Abigail Scragg</t>
  </si>
  <si>
    <t>Alisa Khrashchevych</t>
  </si>
  <si>
    <t>Aurora Bandara</t>
  </si>
  <si>
    <t>Ava Taylor-Knott</t>
  </si>
  <si>
    <t>Averie Gates</t>
  </si>
  <si>
    <t>Emma Jinks</t>
  </si>
  <si>
    <t>Florence Matten</t>
  </si>
  <si>
    <t>Georgina Graham</t>
  </si>
  <si>
    <t>Sereniti Rankin</t>
  </si>
  <si>
    <t>Skye Widdows</t>
  </si>
  <si>
    <t>Sophie Duncan</t>
  </si>
  <si>
    <t>Sunshine Love</t>
  </si>
  <si>
    <t>Daniel Peacock</t>
  </si>
  <si>
    <t>Ethan Hadlington</t>
  </si>
  <si>
    <t>Hayden Tan</t>
  </si>
  <si>
    <t>Isaac Machin</t>
  </si>
  <si>
    <t>Rainbow Love</t>
  </si>
  <si>
    <t>Sefton Heron</t>
  </si>
  <si>
    <t>Anna Duncan</t>
  </si>
  <si>
    <t>Ariella Rose Bandara</t>
  </si>
  <si>
    <t>Lily Holmes</t>
  </si>
  <si>
    <t>Myla Willard Jacobs</t>
  </si>
  <si>
    <t>Seren Rowe</t>
  </si>
  <si>
    <t>Alexander Giles</t>
  </si>
  <si>
    <t>Alfred Chen</t>
  </si>
  <si>
    <t>Cooper Seiltz</t>
  </si>
  <si>
    <t>Ed Ventris</t>
  </si>
  <si>
    <t>George Holmwood</t>
  </si>
  <si>
    <t>Hadley French</t>
  </si>
  <si>
    <t>Harley Saunders-Neate</t>
  </si>
  <si>
    <t>Ivo Edgar</t>
  </si>
  <si>
    <t>James Kane</t>
  </si>
  <si>
    <t>Reuben Shewan</t>
  </si>
  <si>
    <t>Tife Ajayi</t>
  </si>
  <si>
    <t>Zachary Francis</t>
  </si>
  <si>
    <t>Elise Christian</t>
  </si>
  <si>
    <t>Emily Hope Williams</t>
  </si>
  <si>
    <t>Jess Roberts</t>
  </si>
  <si>
    <t>Ethan Cort</t>
  </si>
  <si>
    <t>Rowan Houghton</t>
  </si>
  <si>
    <t>Samuel Newton</t>
  </si>
  <si>
    <t>Estée Norman</t>
  </si>
  <si>
    <t>NH</t>
  </si>
  <si>
    <t>DNS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</si>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</sst>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7" fontId="2" fillId="0" borderId="1" xfId="0" applyNumberFormat="1" applyFont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21D6-AED4-4403-9315-C1EAD6DD98CE}">
  <sheetPr>
    <pageSetUpPr fitToPage="1"/>
  </sheetPr>
  <dimension ref="A1:P12"/>
  <sheetViews>
    <sheetView workbookViewId="0">
      <selection activeCell="P1" sqref="P1:P1048576"/>
    </sheetView>
  </sheetViews>
  <sheetFormatPr defaultColWidth="9" defaultRowHeight="13.5" x14ac:dyDescent="0.45"/>
  <cols>
    <col min="1" max="2" width="9" style="3"/>
    <col min="3" max="3" width="17.86328125" style="3" customWidth="1"/>
    <col min="4" max="4" width="9.86328125" style="3" bestFit="1" customWidth="1"/>
    <col min="5" max="11" width="9" style="3"/>
    <col min="12" max="12" width="9.73046875" style="3" customWidth="1"/>
    <col min="13" max="16384" width="9" style="3"/>
  </cols>
  <sheetData>
    <row r="1" spans="1:16" ht="14.25" x14ac:dyDescent="0.45">
      <c r="A1" s="2" t="s">
        <v>9</v>
      </c>
      <c r="B1" s="8" t="s">
        <v>12</v>
      </c>
      <c r="C1" s="8" t="s">
        <v>10</v>
      </c>
      <c r="D1" s="8" t="s">
        <v>11</v>
      </c>
      <c r="E1" s="8" t="s">
        <v>0</v>
      </c>
      <c r="F1" s="2" t="s">
        <v>7</v>
      </c>
      <c r="G1" s="8" t="s">
        <v>2</v>
      </c>
      <c r="H1" s="2" t="s">
        <v>7</v>
      </c>
      <c r="I1" s="8" t="s">
        <v>3</v>
      </c>
      <c r="J1" s="2" t="s">
        <v>7</v>
      </c>
      <c r="K1" s="8" t="s">
        <v>6</v>
      </c>
      <c r="L1" s="2" t="s">
        <v>7</v>
      </c>
      <c r="M1" s="8" t="s">
        <v>5</v>
      </c>
      <c r="N1" s="2" t="s">
        <v>7</v>
      </c>
      <c r="O1" s="2" t="s">
        <v>8</v>
      </c>
      <c r="P1"/>
    </row>
    <row r="2" spans="1:16" ht="13.9" x14ac:dyDescent="0.35">
      <c r="A2" s="2">
        <f>RANK($O2,$O$2:$O$6)</f>
        <v>1</v>
      </c>
      <c r="B2" s="1">
        <v>193</v>
      </c>
      <c r="C2" s="24" t="s">
        <v>26</v>
      </c>
      <c r="D2" s="24" t="s">
        <v>15</v>
      </c>
      <c r="E2" s="25">
        <v>15.2</v>
      </c>
      <c r="F2" s="11">
        <f t="shared" ref="F2:F7" si="0">IF(E2=0,0,ROUNDDOWN(7.237*(27-E2)^1.835,0))</f>
        <v>670</v>
      </c>
      <c r="G2" s="4">
        <v>5.7</v>
      </c>
      <c r="H2" s="12">
        <f t="shared" ref="H2:H7" si="1">IF(G2=0,0,ROUNDDOWN(0.14354*(100*G2-220)^1.4,0))</f>
        <v>523</v>
      </c>
      <c r="I2" s="4">
        <v>1.54</v>
      </c>
      <c r="J2" s="12">
        <f>IF(I2=0,0,ROUNDDOWN(0.8465*(100*I2-75)^1.42,0))</f>
        <v>419</v>
      </c>
      <c r="K2" s="4">
        <v>31.97</v>
      </c>
      <c r="L2" s="9">
        <v>327</v>
      </c>
      <c r="M2" s="5">
        <v>3.2546296296296295E-3</v>
      </c>
      <c r="N2" s="12">
        <f>IF(M2=0,0,ROUNDDOWN(0.03768*(480-M2*86400)^1.85,0))</f>
        <v>673</v>
      </c>
      <c r="O2" s="10">
        <f t="shared" ref="O2:O7" si="2">SUM(F2,N2,H2,J2,L2)</f>
        <v>2612</v>
      </c>
    </row>
    <row r="3" spans="1:16" ht="13.9" x14ac:dyDescent="0.35">
      <c r="A3" s="2">
        <f>RANK($O3,$O$2:$O$6)</f>
        <v>2</v>
      </c>
      <c r="B3" s="1">
        <v>190</v>
      </c>
      <c r="C3" s="24" t="s">
        <v>28</v>
      </c>
      <c r="D3" s="24" t="s">
        <v>13</v>
      </c>
      <c r="E3" s="25">
        <v>16.100000000000001</v>
      </c>
      <c r="F3" s="11">
        <f t="shared" si="0"/>
        <v>579</v>
      </c>
      <c r="G3" s="4">
        <v>6.07</v>
      </c>
      <c r="H3" s="12">
        <f t="shared" si="1"/>
        <v>602</v>
      </c>
      <c r="I3" s="4">
        <v>1.57</v>
      </c>
      <c r="J3" s="12">
        <f>IF(I3=0,0,ROUNDDOWN(0.8465*(100*I3-75)^1.42,0))</f>
        <v>441</v>
      </c>
      <c r="K3" s="4">
        <v>38.020000000000003</v>
      </c>
      <c r="L3" s="9">
        <v>414</v>
      </c>
      <c r="M3" s="5">
        <v>3.6759259259259262E-3</v>
      </c>
      <c r="N3" s="12">
        <f>IF(M3=0,0,ROUNDDOWN(0.03768*(480-M3*86400)^1.85,0))</f>
        <v>463</v>
      </c>
      <c r="O3" s="10">
        <f t="shared" si="2"/>
        <v>2499</v>
      </c>
    </row>
    <row r="4" spans="1:16" ht="13.9" x14ac:dyDescent="0.35">
      <c r="A4" s="2">
        <f>RANK($O4,$O$2:$O$6)</f>
        <v>3</v>
      </c>
      <c r="B4" s="1">
        <v>191</v>
      </c>
      <c r="C4" s="24" t="s">
        <v>74</v>
      </c>
      <c r="D4" s="24" t="s">
        <v>15</v>
      </c>
      <c r="E4" s="25">
        <v>16.3</v>
      </c>
      <c r="F4" s="11">
        <f t="shared" si="0"/>
        <v>560</v>
      </c>
      <c r="G4" s="4">
        <v>6.06</v>
      </c>
      <c r="H4" s="12">
        <f t="shared" si="1"/>
        <v>600</v>
      </c>
      <c r="I4" s="4">
        <v>1.45</v>
      </c>
      <c r="J4" s="12">
        <f>IF(I4=0,0,ROUNDDOWN(0.8465*(100*I4-75)^1.42,0))</f>
        <v>352</v>
      </c>
      <c r="K4" s="4">
        <v>33.82</v>
      </c>
      <c r="L4" s="9">
        <v>353</v>
      </c>
      <c r="M4" s="5">
        <v>4.162037037037037E-3</v>
      </c>
      <c r="N4" s="12">
        <f>IF(M4=0,0,ROUNDDOWN(0.03768*(480-M4*86400)^1.85,0))</f>
        <v>266</v>
      </c>
      <c r="O4" s="10">
        <f t="shared" si="2"/>
        <v>2131</v>
      </c>
    </row>
    <row r="5" spans="1:16" ht="13.9" x14ac:dyDescent="0.35">
      <c r="A5" s="2">
        <f>RANK($O5,$O$2:$O$6)</f>
        <v>4</v>
      </c>
      <c r="B5" s="1">
        <v>194</v>
      </c>
      <c r="C5" s="24" t="s">
        <v>27</v>
      </c>
      <c r="D5" s="24" t="s">
        <v>13</v>
      </c>
      <c r="E5" s="25">
        <v>17.2</v>
      </c>
      <c r="F5" s="11">
        <f t="shared" si="0"/>
        <v>476</v>
      </c>
      <c r="G5" s="4">
        <v>3.99</v>
      </c>
      <c r="H5" s="12">
        <f t="shared" si="1"/>
        <v>204</v>
      </c>
      <c r="I5" s="4">
        <v>1.3</v>
      </c>
      <c r="J5" s="12">
        <f>IF(I5=0,0,ROUNDDOWN(0.8465*(100*I5-75)^1.42,0))</f>
        <v>250</v>
      </c>
      <c r="K5" s="4">
        <v>18.23</v>
      </c>
      <c r="L5" s="9">
        <v>138</v>
      </c>
      <c r="M5" s="5">
        <v>3.3738425925925928E-3</v>
      </c>
      <c r="N5" s="12">
        <f>IF(M5=0,0,ROUNDDOWN(0.03768*(480-M5*86400)^1.85,0))</f>
        <v>610</v>
      </c>
      <c r="O5" s="10">
        <f t="shared" si="2"/>
        <v>1678</v>
      </c>
    </row>
    <row r="6" spans="1:16" ht="13.9" x14ac:dyDescent="0.35">
      <c r="A6" s="2">
        <f>RANK($O6,$O$2:$O$6)</f>
        <v>5</v>
      </c>
      <c r="B6" s="1">
        <v>195</v>
      </c>
      <c r="C6" s="24" t="s">
        <v>75</v>
      </c>
      <c r="D6" s="24" t="s">
        <v>30</v>
      </c>
      <c r="E6" s="25">
        <v>19.399999999999999</v>
      </c>
      <c r="F6" s="11">
        <f t="shared" si="0"/>
        <v>299</v>
      </c>
      <c r="G6" s="4">
        <v>4.57</v>
      </c>
      <c r="H6" s="12">
        <f t="shared" si="1"/>
        <v>303</v>
      </c>
      <c r="I6" s="4">
        <v>1.48</v>
      </c>
      <c r="J6" s="12">
        <f>IF(I6=0,0,ROUNDDOWN(0.8465*(100*I6-75)^1.42,0))</f>
        <v>374</v>
      </c>
      <c r="K6" s="4">
        <v>14.01</v>
      </c>
      <c r="L6" s="9">
        <v>83</v>
      </c>
      <c r="M6" s="5">
        <v>3.9618055555555561E-3</v>
      </c>
      <c r="N6" s="12">
        <f>IF(M6=0,0,ROUNDDOWN(0.03768*(480-M6*86400)^1.85,0))</f>
        <v>341</v>
      </c>
      <c r="O6" s="10">
        <f t="shared" si="2"/>
        <v>1400</v>
      </c>
    </row>
    <row r="7" spans="1:16" ht="13.9" x14ac:dyDescent="0.35">
      <c r="A7" s="2" t="s">
        <v>80</v>
      </c>
      <c r="B7" s="1">
        <v>196</v>
      </c>
      <c r="C7" s="24" t="s">
        <v>76</v>
      </c>
      <c r="D7" s="24" t="s">
        <v>18</v>
      </c>
      <c r="E7" s="25">
        <v>14.5</v>
      </c>
      <c r="F7" s="11">
        <f t="shared" si="0"/>
        <v>745</v>
      </c>
      <c r="G7" s="4">
        <v>6.21</v>
      </c>
      <c r="H7" s="12">
        <f t="shared" si="1"/>
        <v>632</v>
      </c>
      <c r="I7" s="4">
        <v>1.84</v>
      </c>
      <c r="J7" s="12">
        <v>627</v>
      </c>
      <c r="K7" s="4">
        <v>41.74</v>
      </c>
      <c r="L7" s="9">
        <v>467</v>
      </c>
      <c r="M7" s="5" t="s">
        <v>79</v>
      </c>
      <c r="N7" s="12">
        <v>0</v>
      </c>
      <c r="O7" s="10">
        <f t="shared" si="2"/>
        <v>2471</v>
      </c>
    </row>
    <row r="12" spans="1:16" ht="14.25" x14ac:dyDescent="0.45">
      <c r="H12"/>
    </row>
  </sheetData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42F6-DE97-41E0-B436-22B8EE7E983A}">
  <sheetPr>
    <pageSetUpPr fitToPage="1"/>
  </sheetPr>
  <dimension ref="A1:R18"/>
  <sheetViews>
    <sheetView workbookViewId="0">
      <pane xSplit="2" ySplit="1" topLeftCell="C2" activePane="bottomRight" state="frozen"/>
      <selection pane="topRight" activeCell="B1" sqref="B1"/>
      <selection pane="bottomLeft" activeCell="A4" sqref="A4"/>
      <selection pane="bottomRight" activeCell="P1" sqref="P1:P1048576"/>
    </sheetView>
  </sheetViews>
  <sheetFormatPr defaultColWidth="9" defaultRowHeight="13.5" x14ac:dyDescent="0.35"/>
  <cols>
    <col min="1" max="2" width="9" style="6"/>
    <col min="3" max="4" width="18" style="6" customWidth="1"/>
    <col min="5" max="16384" width="9" style="6"/>
  </cols>
  <sheetData>
    <row r="1" spans="1:18" ht="13.9" x14ac:dyDescent="0.35">
      <c r="A1" s="2" t="s">
        <v>9</v>
      </c>
      <c r="B1" s="8" t="s">
        <v>12</v>
      </c>
      <c r="C1" s="8" t="s">
        <v>10</v>
      </c>
      <c r="D1" s="8" t="s">
        <v>11</v>
      </c>
      <c r="E1" s="8" t="s">
        <v>3</v>
      </c>
      <c r="F1" s="2" t="s">
        <v>7</v>
      </c>
      <c r="G1" s="8" t="s">
        <v>0</v>
      </c>
      <c r="H1" s="2" t="s">
        <v>7</v>
      </c>
      <c r="I1" s="8" t="s">
        <v>4</v>
      </c>
      <c r="J1" s="2" t="s">
        <v>7</v>
      </c>
      <c r="K1" s="8" t="s">
        <v>2</v>
      </c>
      <c r="L1" s="2" t="s">
        <v>7</v>
      </c>
      <c r="M1" s="8" t="s">
        <v>1</v>
      </c>
      <c r="N1" s="2" t="s">
        <v>7</v>
      </c>
      <c r="O1" s="2" t="s">
        <v>8</v>
      </c>
    </row>
    <row r="2" spans="1:18" ht="13.9" x14ac:dyDescent="0.35">
      <c r="A2" s="2">
        <f t="shared" ref="A2:A18" si="0">RANK($O2,$O$2:$O$18)</f>
        <v>1</v>
      </c>
      <c r="B2" s="1">
        <v>150</v>
      </c>
      <c r="C2" s="24" t="s">
        <v>59</v>
      </c>
      <c r="D2" s="24" t="s">
        <v>15</v>
      </c>
      <c r="E2" s="4">
        <v>1.71</v>
      </c>
      <c r="F2" s="12">
        <f t="shared" ref="F2:F16" si="1">IF(E2=0,0,ROUNDDOWN(0.8465*(100*E2-75)^1.42,0))</f>
        <v>552</v>
      </c>
      <c r="G2" s="25">
        <v>12.2</v>
      </c>
      <c r="H2" s="13">
        <f t="shared" ref="H2:H18" si="2">IF(G2=0,0,ROUNDDOWN(7.399*(24-G2)^1.835,0))</f>
        <v>685</v>
      </c>
      <c r="I2" s="4">
        <v>9.67</v>
      </c>
      <c r="J2" s="12">
        <f t="shared" ref="J2:J18" si="3">IF(I2=0,0,ROUNDDOWN(51.39*(I2-1.5)^1.05,0))</f>
        <v>466</v>
      </c>
      <c r="K2" s="4">
        <v>5.83</v>
      </c>
      <c r="L2" s="12">
        <f t="shared" ref="L2:L18" si="4">IF(K2=0,0,ROUNDDOWN(0.14354*(100*K2-220)^1.4,0))</f>
        <v>550</v>
      </c>
      <c r="M2" s="5">
        <v>1.664351851851852E-3</v>
      </c>
      <c r="N2" s="13">
        <f t="shared" ref="N2:N18" si="5">IF(M2=0,0,INT(0.232*(200-M2*86400)^1.85))</f>
        <v>400</v>
      </c>
      <c r="O2" s="10">
        <f t="shared" ref="O2:O18" si="6">SUM(H2,N2,L2,F2,J2)</f>
        <v>2653</v>
      </c>
    </row>
    <row r="3" spans="1:18" ht="13.9" x14ac:dyDescent="0.35">
      <c r="A3" s="2">
        <f t="shared" si="0"/>
        <v>2</v>
      </c>
      <c r="B3" s="1">
        <v>165</v>
      </c>
      <c r="C3" s="24" t="s">
        <v>25</v>
      </c>
      <c r="D3" s="24" t="s">
        <v>15</v>
      </c>
      <c r="E3" s="4">
        <v>1.5</v>
      </c>
      <c r="F3" s="12">
        <f t="shared" si="1"/>
        <v>389</v>
      </c>
      <c r="G3" s="25">
        <v>12.5</v>
      </c>
      <c r="H3" s="13">
        <f t="shared" si="2"/>
        <v>653</v>
      </c>
      <c r="I3" s="4">
        <v>11.22</v>
      </c>
      <c r="J3" s="12">
        <f t="shared" si="3"/>
        <v>559</v>
      </c>
      <c r="K3" s="4">
        <v>5.53</v>
      </c>
      <c r="L3" s="12">
        <f t="shared" si="4"/>
        <v>487</v>
      </c>
      <c r="M3" s="5">
        <v>1.5752314814814815E-3</v>
      </c>
      <c r="N3" s="13">
        <f t="shared" si="5"/>
        <v>507</v>
      </c>
      <c r="O3" s="10">
        <f t="shared" si="6"/>
        <v>2595</v>
      </c>
    </row>
    <row r="4" spans="1:18" ht="13.9" x14ac:dyDescent="0.35">
      <c r="A4" s="2">
        <f t="shared" si="0"/>
        <v>3</v>
      </c>
      <c r="B4" s="1">
        <v>163</v>
      </c>
      <c r="C4" s="24" t="s">
        <v>24</v>
      </c>
      <c r="D4" s="24" t="s">
        <v>17</v>
      </c>
      <c r="E4" s="4">
        <v>1.62</v>
      </c>
      <c r="F4" s="12">
        <f t="shared" si="1"/>
        <v>480</v>
      </c>
      <c r="G4" s="25">
        <v>11.9</v>
      </c>
      <c r="H4" s="13">
        <f t="shared" si="2"/>
        <v>717</v>
      </c>
      <c r="I4" s="4">
        <v>9.26</v>
      </c>
      <c r="J4" s="12">
        <f t="shared" si="3"/>
        <v>441</v>
      </c>
      <c r="K4" s="4">
        <v>5.27</v>
      </c>
      <c r="L4" s="12">
        <f t="shared" si="4"/>
        <v>435</v>
      </c>
      <c r="M4" s="5">
        <v>1.6458333333333331E-3</v>
      </c>
      <c r="N4" s="13">
        <f t="shared" si="5"/>
        <v>421</v>
      </c>
      <c r="O4" s="10">
        <f t="shared" si="6"/>
        <v>2494</v>
      </c>
    </row>
    <row r="5" spans="1:18" ht="13.9" x14ac:dyDescent="0.35">
      <c r="A5" s="2">
        <f t="shared" si="0"/>
        <v>4</v>
      </c>
      <c r="B5" s="1">
        <v>153</v>
      </c>
      <c r="C5" s="24" t="s">
        <v>61</v>
      </c>
      <c r="D5" s="24" t="s">
        <v>13</v>
      </c>
      <c r="E5" s="4">
        <v>1.62</v>
      </c>
      <c r="F5" s="12">
        <f t="shared" si="1"/>
        <v>480</v>
      </c>
      <c r="G5" s="25">
        <v>13.4</v>
      </c>
      <c r="H5" s="13">
        <f t="shared" si="2"/>
        <v>563</v>
      </c>
      <c r="I5" s="4">
        <v>9.66</v>
      </c>
      <c r="J5" s="12">
        <f t="shared" si="3"/>
        <v>465</v>
      </c>
      <c r="K5" s="4">
        <v>5.15</v>
      </c>
      <c r="L5" s="12">
        <f t="shared" si="4"/>
        <v>411</v>
      </c>
      <c r="M5" s="5">
        <v>1.6400462962962961E-3</v>
      </c>
      <c r="N5" s="13">
        <f t="shared" si="5"/>
        <v>428</v>
      </c>
      <c r="O5" s="10">
        <f t="shared" si="6"/>
        <v>2347</v>
      </c>
    </row>
    <row r="6" spans="1:18" ht="13.9" x14ac:dyDescent="0.35">
      <c r="A6" s="2">
        <f t="shared" si="0"/>
        <v>5</v>
      </c>
      <c r="B6" s="1">
        <v>167</v>
      </c>
      <c r="C6" s="24" t="s">
        <v>68</v>
      </c>
      <c r="D6" s="24" t="s">
        <v>13</v>
      </c>
      <c r="E6" s="4">
        <v>1.53</v>
      </c>
      <c r="F6" s="12">
        <f t="shared" si="1"/>
        <v>411</v>
      </c>
      <c r="G6" s="25">
        <v>13.8</v>
      </c>
      <c r="H6" s="13">
        <f t="shared" si="2"/>
        <v>524</v>
      </c>
      <c r="I6" s="4">
        <v>8.33</v>
      </c>
      <c r="J6" s="12">
        <f t="shared" si="3"/>
        <v>386</v>
      </c>
      <c r="K6" s="4">
        <v>5.13</v>
      </c>
      <c r="L6" s="12">
        <f t="shared" si="4"/>
        <v>407</v>
      </c>
      <c r="M6" s="5">
        <v>1.767361111111111E-3</v>
      </c>
      <c r="N6" s="13">
        <f t="shared" si="5"/>
        <v>291</v>
      </c>
      <c r="O6" s="10">
        <f t="shared" si="6"/>
        <v>2019</v>
      </c>
    </row>
    <row r="7" spans="1:18" ht="13.9" x14ac:dyDescent="0.35">
      <c r="A7" s="2">
        <f t="shared" si="0"/>
        <v>6</v>
      </c>
      <c r="B7" s="1">
        <v>161</v>
      </c>
      <c r="C7" s="24" t="s">
        <v>23</v>
      </c>
      <c r="D7" s="24" t="s">
        <v>13</v>
      </c>
      <c r="E7" s="4">
        <v>1.44</v>
      </c>
      <c r="F7" s="12">
        <f t="shared" si="1"/>
        <v>345</v>
      </c>
      <c r="G7" s="25">
        <v>15.2</v>
      </c>
      <c r="H7" s="13">
        <f t="shared" si="2"/>
        <v>400</v>
      </c>
      <c r="I7" s="4">
        <v>8.65</v>
      </c>
      <c r="J7" s="12">
        <f t="shared" si="3"/>
        <v>405</v>
      </c>
      <c r="K7" s="4">
        <v>5.25</v>
      </c>
      <c r="L7" s="12">
        <f t="shared" si="4"/>
        <v>431</v>
      </c>
      <c r="M7" s="5">
        <v>1.7233796296296296E-3</v>
      </c>
      <c r="N7" s="13">
        <f t="shared" si="5"/>
        <v>335</v>
      </c>
      <c r="O7" s="10">
        <f t="shared" si="6"/>
        <v>1916</v>
      </c>
    </row>
    <row r="8" spans="1:18" ht="13.9" x14ac:dyDescent="0.35">
      <c r="A8" s="2">
        <f t="shared" si="0"/>
        <v>7</v>
      </c>
      <c r="B8" s="1">
        <v>152</v>
      </c>
      <c r="C8" s="24" t="s">
        <v>14</v>
      </c>
      <c r="D8" s="24" t="s">
        <v>15</v>
      </c>
      <c r="E8" s="4">
        <v>1.44</v>
      </c>
      <c r="F8" s="12">
        <f t="shared" si="1"/>
        <v>345</v>
      </c>
      <c r="G8" s="25">
        <v>13.8</v>
      </c>
      <c r="H8" s="13">
        <f t="shared" si="2"/>
        <v>524</v>
      </c>
      <c r="I8" s="4">
        <v>6.01</v>
      </c>
      <c r="J8" s="12">
        <f t="shared" si="3"/>
        <v>249</v>
      </c>
      <c r="K8" s="4">
        <v>5.25</v>
      </c>
      <c r="L8" s="12">
        <f t="shared" si="4"/>
        <v>431</v>
      </c>
      <c r="M8" s="5">
        <v>1.6967592592592592E-3</v>
      </c>
      <c r="N8" s="13">
        <f t="shared" si="5"/>
        <v>364</v>
      </c>
      <c r="O8" s="10">
        <f t="shared" si="6"/>
        <v>1913</v>
      </c>
    </row>
    <row r="9" spans="1:18" ht="13.9" x14ac:dyDescent="0.35">
      <c r="A9" s="2">
        <f t="shared" si="0"/>
        <v>8</v>
      </c>
      <c r="B9" s="1">
        <v>168</v>
      </c>
      <c r="C9" s="24" t="s">
        <v>69</v>
      </c>
      <c r="D9" s="24" t="s">
        <v>15</v>
      </c>
      <c r="E9" s="4">
        <v>1.44</v>
      </c>
      <c r="F9" s="12">
        <f t="shared" si="1"/>
        <v>345</v>
      </c>
      <c r="G9" s="25">
        <v>14.7</v>
      </c>
      <c r="H9" s="13">
        <f t="shared" si="2"/>
        <v>442</v>
      </c>
      <c r="I9" s="4">
        <v>8.49</v>
      </c>
      <c r="J9" s="12">
        <f t="shared" si="3"/>
        <v>395</v>
      </c>
      <c r="K9" s="4">
        <v>5.17</v>
      </c>
      <c r="L9" s="12">
        <f t="shared" si="4"/>
        <v>415</v>
      </c>
      <c r="M9" s="5">
        <v>1.8101851851851853E-3</v>
      </c>
      <c r="N9" s="13">
        <f t="shared" si="5"/>
        <v>250</v>
      </c>
      <c r="O9" s="10">
        <f t="shared" si="6"/>
        <v>1847</v>
      </c>
    </row>
    <row r="10" spans="1:18" ht="13.9" x14ac:dyDescent="0.35">
      <c r="A10" s="2">
        <f t="shared" si="0"/>
        <v>9</v>
      </c>
      <c r="B10" s="1">
        <v>158</v>
      </c>
      <c r="C10" s="24" t="s">
        <v>64</v>
      </c>
      <c r="D10" s="24" t="s">
        <v>13</v>
      </c>
      <c r="E10" s="4">
        <v>1.32</v>
      </c>
      <c r="F10" s="12">
        <f t="shared" si="1"/>
        <v>263</v>
      </c>
      <c r="G10" s="25">
        <v>15.2</v>
      </c>
      <c r="H10" s="13">
        <f t="shared" si="2"/>
        <v>400</v>
      </c>
      <c r="I10" s="4">
        <v>8.6199999999999992</v>
      </c>
      <c r="J10" s="12">
        <f t="shared" si="3"/>
        <v>403</v>
      </c>
      <c r="K10" s="4">
        <v>4.8099999999999996</v>
      </c>
      <c r="L10" s="12">
        <f t="shared" si="4"/>
        <v>346</v>
      </c>
      <c r="M10" s="5">
        <v>1.7627314814814817E-3</v>
      </c>
      <c r="N10" s="13">
        <f t="shared" si="5"/>
        <v>295</v>
      </c>
      <c r="O10" s="10">
        <f t="shared" si="6"/>
        <v>1707</v>
      </c>
    </row>
    <row r="11" spans="1:18" ht="13.9" x14ac:dyDescent="0.35">
      <c r="A11" s="2">
        <f t="shared" si="0"/>
        <v>10</v>
      </c>
      <c r="B11" s="1">
        <v>151</v>
      </c>
      <c r="C11" s="24" t="s">
        <v>60</v>
      </c>
      <c r="D11" s="24" t="s">
        <v>17</v>
      </c>
      <c r="E11" s="4">
        <v>1.38</v>
      </c>
      <c r="F11" s="12">
        <f t="shared" si="1"/>
        <v>303</v>
      </c>
      <c r="G11" s="25">
        <v>17</v>
      </c>
      <c r="H11" s="13">
        <f t="shared" si="2"/>
        <v>262</v>
      </c>
      <c r="I11" s="4">
        <v>7.11</v>
      </c>
      <c r="J11" s="12">
        <f t="shared" si="3"/>
        <v>314</v>
      </c>
      <c r="K11" s="4">
        <v>4.78</v>
      </c>
      <c r="L11" s="12">
        <f t="shared" si="4"/>
        <v>341</v>
      </c>
      <c r="M11" s="5">
        <v>1.675925925925926E-3</v>
      </c>
      <c r="N11" s="13">
        <f t="shared" si="5"/>
        <v>387</v>
      </c>
      <c r="O11" s="10">
        <f t="shared" si="6"/>
        <v>1607</v>
      </c>
    </row>
    <row r="12" spans="1:18" ht="27" x14ac:dyDescent="0.35">
      <c r="A12" s="2">
        <f t="shared" si="0"/>
        <v>11</v>
      </c>
      <c r="B12" s="1">
        <v>159</v>
      </c>
      <c r="C12" s="24" t="s">
        <v>65</v>
      </c>
      <c r="D12" s="24" t="s">
        <v>13</v>
      </c>
      <c r="E12" s="4">
        <v>1.41</v>
      </c>
      <c r="F12" s="12">
        <f t="shared" si="1"/>
        <v>324</v>
      </c>
      <c r="G12" s="25">
        <v>13.8</v>
      </c>
      <c r="H12" s="13">
        <f t="shared" si="2"/>
        <v>524</v>
      </c>
      <c r="I12" s="4">
        <v>6.98</v>
      </c>
      <c r="J12" s="12">
        <f t="shared" si="3"/>
        <v>306</v>
      </c>
      <c r="K12" s="4">
        <v>4.8600000000000003</v>
      </c>
      <c r="L12" s="12">
        <f t="shared" si="4"/>
        <v>356</v>
      </c>
      <c r="M12" s="5">
        <v>2.0393518518518517E-3</v>
      </c>
      <c r="N12" s="13">
        <f t="shared" si="5"/>
        <v>81</v>
      </c>
      <c r="O12" s="10">
        <f t="shared" si="6"/>
        <v>1591</v>
      </c>
    </row>
    <row r="13" spans="1:18" ht="14.25" x14ac:dyDescent="0.45">
      <c r="A13" s="2">
        <f t="shared" si="0"/>
        <v>12</v>
      </c>
      <c r="B13" s="1">
        <v>160</v>
      </c>
      <c r="C13" s="24" t="s">
        <v>66</v>
      </c>
      <c r="D13" s="24" t="s">
        <v>13</v>
      </c>
      <c r="E13" s="4">
        <v>1.29</v>
      </c>
      <c r="F13" s="12">
        <f t="shared" si="1"/>
        <v>244</v>
      </c>
      <c r="G13" s="25">
        <v>16.5</v>
      </c>
      <c r="H13" s="13">
        <f t="shared" si="2"/>
        <v>298</v>
      </c>
      <c r="I13" s="4">
        <v>6.28</v>
      </c>
      <c r="J13" s="12">
        <f t="shared" si="3"/>
        <v>265</v>
      </c>
      <c r="K13" s="4">
        <v>4.59</v>
      </c>
      <c r="L13" s="12">
        <f t="shared" si="4"/>
        <v>306</v>
      </c>
      <c r="M13" s="5">
        <v>1.6944444444444446E-3</v>
      </c>
      <c r="N13" s="13">
        <f t="shared" si="5"/>
        <v>366</v>
      </c>
      <c r="O13" s="10">
        <f t="shared" si="6"/>
        <v>1479</v>
      </c>
      <c r="R13"/>
    </row>
    <row r="14" spans="1:18" ht="13.9" x14ac:dyDescent="0.35">
      <c r="A14" s="2">
        <f t="shared" si="0"/>
        <v>13</v>
      </c>
      <c r="B14" s="1">
        <v>164</v>
      </c>
      <c r="C14" s="24" t="s">
        <v>16</v>
      </c>
      <c r="D14" s="24" t="s">
        <v>13</v>
      </c>
      <c r="E14" s="4">
        <v>1.26</v>
      </c>
      <c r="F14" s="12">
        <f t="shared" si="1"/>
        <v>225</v>
      </c>
      <c r="G14" s="25">
        <v>16.2</v>
      </c>
      <c r="H14" s="13">
        <f t="shared" si="2"/>
        <v>320</v>
      </c>
      <c r="I14" s="4">
        <v>5.16</v>
      </c>
      <c r="J14" s="12">
        <f t="shared" si="3"/>
        <v>200</v>
      </c>
      <c r="K14" s="4">
        <v>4.07</v>
      </c>
      <c r="L14" s="12">
        <f t="shared" si="4"/>
        <v>217</v>
      </c>
      <c r="M14" s="5">
        <v>1.71875E-3</v>
      </c>
      <c r="N14" s="13">
        <f t="shared" si="5"/>
        <v>340</v>
      </c>
      <c r="O14" s="10">
        <f t="shared" si="6"/>
        <v>1302</v>
      </c>
    </row>
    <row r="15" spans="1:18" ht="13.9" x14ac:dyDescent="0.35">
      <c r="A15" s="2">
        <f t="shared" si="0"/>
        <v>14</v>
      </c>
      <c r="B15" s="1">
        <v>155</v>
      </c>
      <c r="C15" s="24" t="s">
        <v>62</v>
      </c>
      <c r="D15" s="24" t="s">
        <v>15</v>
      </c>
      <c r="E15" s="4">
        <v>1.35</v>
      </c>
      <c r="F15" s="12">
        <f t="shared" si="1"/>
        <v>283</v>
      </c>
      <c r="G15" s="25">
        <v>16.3</v>
      </c>
      <c r="H15" s="13">
        <f t="shared" si="2"/>
        <v>313</v>
      </c>
      <c r="I15" s="4">
        <v>6.49</v>
      </c>
      <c r="J15" s="12">
        <f t="shared" si="3"/>
        <v>277</v>
      </c>
      <c r="K15" s="4">
        <v>3.91</v>
      </c>
      <c r="L15" s="12">
        <f t="shared" si="4"/>
        <v>191</v>
      </c>
      <c r="M15" s="5">
        <v>1.9560185185185184E-3</v>
      </c>
      <c r="N15" s="13">
        <f t="shared" si="5"/>
        <v>133</v>
      </c>
      <c r="O15" s="10">
        <f t="shared" si="6"/>
        <v>1197</v>
      </c>
    </row>
    <row r="16" spans="1:18" ht="13.9" x14ac:dyDescent="0.35">
      <c r="A16" s="2">
        <f t="shared" si="0"/>
        <v>15</v>
      </c>
      <c r="B16" s="1">
        <v>162</v>
      </c>
      <c r="C16" s="24" t="s">
        <v>67</v>
      </c>
      <c r="D16" s="24" t="s">
        <v>13</v>
      </c>
      <c r="E16" s="4">
        <v>1.32</v>
      </c>
      <c r="F16" s="12">
        <f t="shared" si="1"/>
        <v>263</v>
      </c>
      <c r="G16" s="25">
        <v>17.5</v>
      </c>
      <c r="H16" s="13">
        <f t="shared" si="2"/>
        <v>229</v>
      </c>
      <c r="I16" s="4">
        <v>5.48</v>
      </c>
      <c r="J16" s="12">
        <f t="shared" si="3"/>
        <v>219</v>
      </c>
      <c r="K16" s="4">
        <v>4.1500000000000004</v>
      </c>
      <c r="L16" s="12">
        <f t="shared" si="4"/>
        <v>230</v>
      </c>
      <c r="M16" s="5">
        <v>1.8055555555555555E-3</v>
      </c>
      <c r="N16" s="13">
        <f t="shared" si="5"/>
        <v>254</v>
      </c>
      <c r="O16" s="10">
        <f t="shared" si="6"/>
        <v>1195</v>
      </c>
    </row>
    <row r="17" spans="1:15" ht="13.9" x14ac:dyDescent="0.35">
      <c r="A17" s="2">
        <f t="shared" si="0"/>
        <v>16</v>
      </c>
      <c r="B17" s="1">
        <v>157</v>
      </c>
      <c r="C17" s="24" t="s">
        <v>63</v>
      </c>
      <c r="D17" s="24" t="s">
        <v>15</v>
      </c>
      <c r="E17" s="4" t="s">
        <v>78</v>
      </c>
      <c r="F17" s="12">
        <v>0</v>
      </c>
      <c r="G17" s="25">
        <v>17.3</v>
      </c>
      <c r="H17" s="13">
        <f t="shared" si="2"/>
        <v>242</v>
      </c>
      <c r="I17" s="4">
        <v>4.9400000000000004</v>
      </c>
      <c r="J17" s="12">
        <f t="shared" si="3"/>
        <v>188</v>
      </c>
      <c r="K17" s="4">
        <v>4</v>
      </c>
      <c r="L17" s="12">
        <f t="shared" si="4"/>
        <v>206</v>
      </c>
      <c r="M17" s="5">
        <v>1.8460648148148149E-3</v>
      </c>
      <c r="N17" s="13">
        <f t="shared" si="5"/>
        <v>218</v>
      </c>
      <c r="O17" s="10">
        <f t="shared" si="6"/>
        <v>854</v>
      </c>
    </row>
    <row r="18" spans="1:15" ht="13.9" x14ac:dyDescent="0.35">
      <c r="A18" s="2">
        <f t="shared" si="0"/>
        <v>17</v>
      </c>
      <c r="B18" s="1">
        <v>169</v>
      </c>
      <c r="C18" s="24" t="s">
        <v>70</v>
      </c>
      <c r="D18" s="24" t="s">
        <v>13</v>
      </c>
      <c r="E18" s="4" t="s">
        <v>78</v>
      </c>
      <c r="F18" s="12">
        <v>0</v>
      </c>
      <c r="G18" s="25">
        <v>18.2</v>
      </c>
      <c r="H18" s="13">
        <f t="shared" si="2"/>
        <v>186</v>
      </c>
      <c r="I18" s="4">
        <v>5.55</v>
      </c>
      <c r="J18" s="12">
        <f t="shared" si="3"/>
        <v>223</v>
      </c>
      <c r="K18" s="4">
        <v>3.87</v>
      </c>
      <c r="L18" s="12">
        <f t="shared" si="4"/>
        <v>185</v>
      </c>
      <c r="M18" s="5">
        <v>1.8043981481481483E-3</v>
      </c>
      <c r="N18" s="13">
        <f t="shared" si="5"/>
        <v>255</v>
      </c>
      <c r="O18" s="10">
        <f t="shared" si="6"/>
        <v>849</v>
      </c>
    </row>
  </sheetData>
  <sortState xmlns:xlrd2="http://schemas.microsoft.com/office/spreadsheetml/2017/richdata2" ref="A2:O18">
    <sortCondition descending="1" ref="O2:O18"/>
  </sortState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1CAB-D175-4205-A3A2-320B8F9EDA6A}">
  <sheetPr>
    <pageSetUpPr fitToPage="1"/>
  </sheetPr>
  <dimension ref="A1:M19"/>
  <sheetViews>
    <sheetView workbookViewId="0">
      <selection activeCell="N1" sqref="N1:N1048576"/>
    </sheetView>
  </sheetViews>
  <sheetFormatPr defaultColWidth="9" defaultRowHeight="13.5" x14ac:dyDescent="0.35"/>
  <cols>
    <col min="1" max="2" width="9" style="6"/>
    <col min="3" max="3" width="18" style="6" customWidth="1"/>
    <col min="4" max="4" width="10.1328125" style="6" customWidth="1"/>
    <col min="5" max="16384" width="9" style="6"/>
  </cols>
  <sheetData>
    <row r="1" spans="1:13" ht="41.65" customHeight="1" x14ac:dyDescent="0.35">
      <c r="A1" s="2" t="s">
        <v>9</v>
      </c>
      <c r="B1" s="8" t="s">
        <v>12</v>
      </c>
      <c r="C1" s="8" t="s">
        <v>10</v>
      </c>
      <c r="D1" s="8" t="s">
        <v>11</v>
      </c>
      <c r="E1" s="8" t="s">
        <v>0</v>
      </c>
      <c r="F1" s="2" t="s">
        <v>7</v>
      </c>
      <c r="G1" s="8" t="s">
        <v>2</v>
      </c>
      <c r="H1" s="2" t="s">
        <v>7</v>
      </c>
      <c r="I1" s="8" t="s">
        <v>4</v>
      </c>
      <c r="J1" s="2" t="s">
        <v>7</v>
      </c>
      <c r="K1" s="8" t="s">
        <v>1</v>
      </c>
      <c r="L1" s="2" t="s">
        <v>7</v>
      </c>
      <c r="M1" s="2" t="s">
        <v>8</v>
      </c>
    </row>
    <row r="2" spans="1:13" ht="13.9" x14ac:dyDescent="0.4">
      <c r="A2" s="14">
        <f t="shared" ref="A2:A7" si="0">RANK($M2,$M$2:$M$7)</f>
        <v>1</v>
      </c>
      <c r="B2" s="1">
        <v>124</v>
      </c>
      <c r="C2" s="24" t="s">
        <v>51</v>
      </c>
      <c r="D2" s="24" t="s">
        <v>13</v>
      </c>
      <c r="E2" s="15">
        <v>13</v>
      </c>
      <c r="F2" s="17">
        <f t="shared" ref="F2:F7" si="1">IF(E2=0,0,ROUNDDOWN(7.399*(23-E2)^1.835,0))</f>
        <v>506</v>
      </c>
      <c r="G2" s="15">
        <v>4.5999999999999996</v>
      </c>
      <c r="H2" s="11">
        <f t="shared" ref="H2:H7" si="2">IF(G2=0,0,ROUNDDOWN(0.14354*(100*G2-220)^1.4,0))</f>
        <v>308</v>
      </c>
      <c r="I2" s="15">
        <v>7.33</v>
      </c>
      <c r="J2" s="11">
        <f t="shared" ref="J2:J7" si="3">IF(I2=0,0,ROUNDDOWN(51.39*(I2-1.5)^1.05,0))</f>
        <v>327</v>
      </c>
      <c r="K2" s="16">
        <v>1.6932870370370372E-3</v>
      </c>
      <c r="L2" s="17">
        <v>740</v>
      </c>
      <c r="M2" s="18">
        <f t="shared" ref="M2:M7" si="4">SUM(F2,L2,H2,J2)</f>
        <v>1881</v>
      </c>
    </row>
    <row r="3" spans="1:13" ht="13.9" x14ac:dyDescent="0.4">
      <c r="A3" s="14">
        <f t="shared" si="0"/>
        <v>2</v>
      </c>
      <c r="B3" s="1">
        <v>127</v>
      </c>
      <c r="C3" s="24" t="s">
        <v>53</v>
      </c>
      <c r="D3" s="24" t="s">
        <v>13</v>
      </c>
      <c r="E3" s="15">
        <v>14.5</v>
      </c>
      <c r="F3" s="17">
        <f t="shared" si="1"/>
        <v>375</v>
      </c>
      <c r="G3" s="15">
        <v>3.73</v>
      </c>
      <c r="H3" s="11">
        <f t="shared" si="2"/>
        <v>164</v>
      </c>
      <c r="I3" s="15">
        <v>6.38</v>
      </c>
      <c r="J3" s="11">
        <f t="shared" si="3"/>
        <v>271</v>
      </c>
      <c r="K3" s="16">
        <v>1.6770833333333334E-3</v>
      </c>
      <c r="L3" s="17">
        <v>769</v>
      </c>
      <c r="M3" s="18">
        <f t="shared" si="4"/>
        <v>1579</v>
      </c>
    </row>
    <row r="4" spans="1:13" ht="13.9" x14ac:dyDescent="0.4">
      <c r="A4" s="14">
        <f t="shared" si="0"/>
        <v>3</v>
      </c>
      <c r="B4" s="1">
        <v>123</v>
      </c>
      <c r="C4" s="24" t="s">
        <v>50</v>
      </c>
      <c r="D4" s="24" t="s">
        <v>15</v>
      </c>
      <c r="E4" s="15">
        <v>14.4</v>
      </c>
      <c r="F4" s="17">
        <f t="shared" si="1"/>
        <v>383</v>
      </c>
      <c r="G4" s="15">
        <v>4.04</v>
      </c>
      <c r="H4" s="11">
        <f t="shared" si="2"/>
        <v>212</v>
      </c>
      <c r="I4" s="15">
        <v>5.8</v>
      </c>
      <c r="J4" s="11">
        <f t="shared" si="3"/>
        <v>237</v>
      </c>
      <c r="K4" s="16">
        <v>2.0949074074074073E-3</v>
      </c>
      <c r="L4" s="17">
        <v>356</v>
      </c>
      <c r="M4" s="18">
        <f t="shared" si="4"/>
        <v>1188</v>
      </c>
    </row>
    <row r="5" spans="1:13" ht="13.9" x14ac:dyDescent="0.4">
      <c r="A5" s="14">
        <f t="shared" si="0"/>
        <v>4</v>
      </c>
      <c r="B5" s="1">
        <v>121</v>
      </c>
      <c r="C5" s="24" t="s">
        <v>48</v>
      </c>
      <c r="D5" s="24" t="s">
        <v>15</v>
      </c>
      <c r="E5" s="15">
        <v>16</v>
      </c>
      <c r="F5" s="17">
        <f t="shared" si="1"/>
        <v>262</v>
      </c>
      <c r="G5" s="15">
        <v>3.33</v>
      </c>
      <c r="H5" s="11">
        <f t="shared" si="2"/>
        <v>107</v>
      </c>
      <c r="I5" s="15">
        <v>4.71</v>
      </c>
      <c r="J5" s="11">
        <f t="shared" si="3"/>
        <v>174</v>
      </c>
      <c r="K5" s="16">
        <v>2.0196759259259261E-3</v>
      </c>
      <c r="L5" s="17">
        <v>418</v>
      </c>
      <c r="M5" s="18">
        <f t="shared" si="4"/>
        <v>961</v>
      </c>
    </row>
    <row r="6" spans="1:13" ht="15" customHeight="1" x14ac:dyDescent="0.4">
      <c r="A6" s="14">
        <f t="shared" si="0"/>
        <v>5</v>
      </c>
      <c r="B6" s="1">
        <v>122</v>
      </c>
      <c r="C6" s="24" t="s">
        <v>49</v>
      </c>
      <c r="D6" s="24" t="s">
        <v>15</v>
      </c>
      <c r="E6" s="15">
        <v>16.399999999999999</v>
      </c>
      <c r="F6" s="17">
        <f t="shared" si="1"/>
        <v>236</v>
      </c>
      <c r="G6" s="15">
        <v>3.85</v>
      </c>
      <c r="H6" s="11">
        <f t="shared" si="2"/>
        <v>182</v>
      </c>
      <c r="I6" s="15">
        <v>4.3899999999999997</v>
      </c>
      <c r="J6" s="11">
        <f t="shared" si="3"/>
        <v>156</v>
      </c>
      <c r="K6" s="16">
        <v>2.0833333333333333E-3</v>
      </c>
      <c r="L6" s="17">
        <v>365</v>
      </c>
      <c r="M6" s="18">
        <f t="shared" si="4"/>
        <v>939</v>
      </c>
    </row>
    <row r="7" spans="1:13" ht="13.9" x14ac:dyDescent="0.4">
      <c r="A7" s="14">
        <f t="shared" si="0"/>
        <v>6</v>
      </c>
      <c r="B7" s="1">
        <v>125</v>
      </c>
      <c r="C7" s="24" t="s">
        <v>52</v>
      </c>
      <c r="D7" s="24" t="s">
        <v>13</v>
      </c>
      <c r="E7" s="15">
        <v>18.7</v>
      </c>
      <c r="F7" s="17">
        <f t="shared" si="1"/>
        <v>107</v>
      </c>
      <c r="G7" s="15">
        <v>3.36</v>
      </c>
      <c r="H7" s="11">
        <f t="shared" si="2"/>
        <v>111</v>
      </c>
      <c r="I7" s="15">
        <v>7.45</v>
      </c>
      <c r="J7" s="11">
        <f t="shared" si="3"/>
        <v>334</v>
      </c>
      <c r="K7" s="16">
        <v>2.2222222222222222E-3</v>
      </c>
      <c r="L7" s="17">
        <v>262</v>
      </c>
      <c r="M7" s="18">
        <f t="shared" si="4"/>
        <v>814</v>
      </c>
    </row>
    <row r="8" spans="1:13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sortState xmlns:xlrd2="http://schemas.microsoft.com/office/spreadsheetml/2017/richdata2" ref="A2:M7">
    <sortCondition descending="1" ref="M2:M7"/>
  </sortState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45BB-A840-473B-BD44-40A78F72A513}">
  <sheetPr>
    <pageSetUpPr fitToPage="1"/>
  </sheetPr>
  <dimension ref="A1:O7"/>
  <sheetViews>
    <sheetView workbookViewId="0">
      <selection activeCell="P1" sqref="P1:P1048576"/>
    </sheetView>
  </sheetViews>
  <sheetFormatPr defaultRowHeight="14.25" x14ac:dyDescent="0.45"/>
  <cols>
    <col min="3" max="3" width="25" customWidth="1"/>
    <col min="4" max="4" width="18" customWidth="1"/>
  </cols>
  <sheetData>
    <row r="1" spans="1:15" x14ac:dyDescent="0.45">
      <c r="A1" s="2" t="s">
        <v>9</v>
      </c>
      <c r="B1" s="8" t="s">
        <v>12</v>
      </c>
      <c r="C1" s="8" t="s">
        <v>10</v>
      </c>
      <c r="D1" s="8" t="s">
        <v>11</v>
      </c>
      <c r="E1" s="8" t="s">
        <v>6</v>
      </c>
      <c r="F1" s="2" t="s">
        <v>7</v>
      </c>
      <c r="G1" s="8" t="s">
        <v>0</v>
      </c>
      <c r="H1" s="2" t="s">
        <v>7</v>
      </c>
      <c r="I1" s="8" t="s">
        <v>2</v>
      </c>
      <c r="J1" s="2" t="s">
        <v>7</v>
      </c>
      <c r="K1" s="8" t="s">
        <v>3</v>
      </c>
      <c r="L1" s="2" t="s">
        <v>7</v>
      </c>
      <c r="M1" s="8" t="s">
        <v>1</v>
      </c>
      <c r="N1" s="2" t="s">
        <v>7</v>
      </c>
      <c r="O1" s="19" t="s">
        <v>8</v>
      </c>
    </row>
    <row r="2" spans="1:15" ht="15.75" x14ac:dyDescent="0.45">
      <c r="A2" s="2">
        <f t="shared" ref="A2:A7" si="0">RANK($O2,$O$2:$O$7)</f>
        <v>1</v>
      </c>
      <c r="B2" s="1">
        <v>184</v>
      </c>
      <c r="C2" s="24" t="s">
        <v>77</v>
      </c>
      <c r="D2" s="24" t="s">
        <v>15</v>
      </c>
      <c r="E2" s="4">
        <v>27.93</v>
      </c>
      <c r="F2" s="21">
        <f t="shared" ref="F2:F7" si="1">IFERROR(IF(E2=0,0,ROUNDDOWN(15.9803*(E2-3.8)^1.04,0)),0)</f>
        <v>437</v>
      </c>
      <c r="G2" s="25">
        <v>11.9</v>
      </c>
      <c r="H2" s="22">
        <f t="shared" ref="H2:H7" si="2">IF(G2="","",INT(19367.3/(G2-0.005)-815.117))</f>
        <v>813</v>
      </c>
      <c r="I2" s="4">
        <v>5.07</v>
      </c>
      <c r="J2" s="21">
        <f t="shared" ref="J2:J7" si="3">IFERROR(IFERROR(IF(I2=0,0,ROUNDDOWN(0.188807*(100*I2-210)^1.41,0)),0),0)</f>
        <v>578</v>
      </c>
      <c r="K2" s="4">
        <v>1.61</v>
      </c>
      <c r="L2" s="21">
        <f t="shared" ref="L2:L7" si="4">IFERROR(IF(K2=0,0,ROUNDDOWN(1.84523*(100*K2-75)^1.348,0)),0)</f>
        <v>747</v>
      </c>
      <c r="M2" s="5">
        <v>1.7013888888888888E-3</v>
      </c>
      <c r="N2" s="21">
        <f t="shared" ref="N2:N7" si="5">IFERROR(IF(M2=0,0,ROUNDDOWN(0.11193*(254-M2*86400)^1.88,0)),0)</f>
        <v>731</v>
      </c>
      <c r="O2" s="20">
        <f t="shared" ref="O2:O7" si="6">SUM(H2,N2,J2,L2,F2)</f>
        <v>3306</v>
      </c>
    </row>
    <row r="3" spans="1:15" ht="15.75" x14ac:dyDescent="0.45">
      <c r="A3" s="2">
        <f t="shared" si="0"/>
        <v>2</v>
      </c>
      <c r="B3" s="1">
        <v>181</v>
      </c>
      <c r="C3" s="24" t="s">
        <v>71</v>
      </c>
      <c r="D3" s="24" t="s">
        <v>15</v>
      </c>
      <c r="E3" s="4">
        <v>45.59</v>
      </c>
      <c r="F3" s="21">
        <f t="shared" si="1"/>
        <v>775</v>
      </c>
      <c r="G3" s="25">
        <v>12.6</v>
      </c>
      <c r="H3" s="22">
        <f t="shared" si="2"/>
        <v>722</v>
      </c>
      <c r="I3" s="4">
        <v>4.71</v>
      </c>
      <c r="J3" s="21">
        <f t="shared" si="3"/>
        <v>482</v>
      </c>
      <c r="K3" s="4">
        <v>1.46</v>
      </c>
      <c r="L3" s="21">
        <f t="shared" si="4"/>
        <v>577</v>
      </c>
      <c r="M3" s="5">
        <v>1.8425925925925925E-3</v>
      </c>
      <c r="N3" s="21">
        <f t="shared" si="5"/>
        <v>582</v>
      </c>
      <c r="O3" s="20">
        <f t="shared" si="6"/>
        <v>3138</v>
      </c>
    </row>
    <row r="4" spans="1:15" ht="15.75" x14ac:dyDescent="0.45">
      <c r="A4" s="2">
        <f t="shared" si="0"/>
        <v>3</v>
      </c>
      <c r="B4" s="1">
        <v>186</v>
      </c>
      <c r="C4" s="24" t="s">
        <v>21</v>
      </c>
      <c r="D4" s="24" t="s">
        <v>15</v>
      </c>
      <c r="E4" s="4">
        <v>28.97</v>
      </c>
      <c r="F4" s="21">
        <f t="shared" si="1"/>
        <v>457</v>
      </c>
      <c r="G4" s="25">
        <v>13.1</v>
      </c>
      <c r="H4" s="22">
        <f t="shared" si="2"/>
        <v>663</v>
      </c>
      <c r="I4" s="4">
        <v>3.55</v>
      </c>
      <c r="J4" s="21">
        <f t="shared" si="3"/>
        <v>210</v>
      </c>
      <c r="K4" s="4">
        <v>1.52</v>
      </c>
      <c r="L4" s="21">
        <f t="shared" si="4"/>
        <v>644</v>
      </c>
      <c r="M4" s="5">
        <v>1.8263888888888891E-3</v>
      </c>
      <c r="N4" s="21">
        <f t="shared" si="5"/>
        <v>598</v>
      </c>
      <c r="O4" s="20">
        <f t="shared" si="6"/>
        <v>2572</v>
      </c>
    </row>
    <row r="5" spans="1:15" ht="15.75" x14ac:dyDescent="0.45">
      <c r="A5" s="2">
        <f t="shared" si="0"/>
        <v>4</v>
      </c>
      <c r="B5" s="1">
        <v>183</v>
      </c>
      <c r="C5" s="24" t="s">
        <v>72</v>
      </c>
      <c r="D5" s="24" t="s">
        <v>15</v>
      </c>
      <c r="E5" s="4">
        <v>17.559999999999999</v>
      </c>
      <c r="F5" s="21">
        <f t="shared" si="1"/>
        <v>244</v>
      </c>
      <c r="G5" s="25">
        <v>14.2</v>
      </c>
      <c r="H5" s="22">
        <f t="shared" si="2"/>
        <v>549</v>
      </c>
      <c r="I5" s="4">
        <v>4.45</v>
      </c>
      <c r="J5" s="21">
        <f t="shared" si="3"/>
        <v>416</v>
      </c>
      <c r="K5" s="4">
        <v>1.49</v>
      </c>
      <c r="L5" s="21">
        <f t="shared" si="4"/>
        <v>610</v>
      </c>
      <c r="M5" s="5">
        <v>1.7280092592592594E-3</v>
      </c>
      <c r="N5" s="21">
        <f t="shared" si="5"/>
        <v>702</v>
      </c>
      <c r="O5" s="20">
        <f t="shared" si="6"/>
        <v>2521</v>
      </c>
    </row>
    <row r="6" spans="1:15" ht="15.75" x14ac:dyDescent="0.45">
      <c r="A6" s="2">
        <f t="shared" si="0"/>
        <v>5</v>
      </c>
      <c r="B6" s="1">
        <v>182</v>
      </c>
      <c r="C6" s="24" t="s">
        <v>19</v>
      </c>
      <c r="D6" s="24" t="s">
        <v>13</v>
      </c>
      <c r="E6" s="4">
        <v>12.4</v>
      </c>
      <c r="F6" s="21">
        <f t="shared" si="1"/>
        <v>149</v>
      </c>
      <c r="G6" s="25">
        <v>13.6</v>
      </c>
      <c r="H6" s="22">
        <f t="shared" si="2"/>
        <v>609</v>
      </c>
      <c r="I6" s="4">
        <v>4.87</v>
      </c>
      <c r="J6" s="21">
        <f t="shared" si="3"/>
        <v>524</v>
      </c>
      <c r="K6" s="4">
        <v>1.34</v>
      </c>
      <c r="L6" s="21">
        <f t="shared" si="4"/>
        <v>449</v>
      </c>
      <c r="M6" s="5">
        <v>1.778935185185185E-3</v>
      </c>
      <c r="N6" s="21">
        <f t="shared" si="5"/>
        <v>647</v>
      </c>
      <c r="O6" s="20">
        <f t="shared" si="6"/>
        <v>2378</v>
      </c>
    </row>
    <row r="7" spans="1:15" ht="15.75" x14ac:dyDescent="0.45">
      <c r="A7" s="2">
        <f t="shared" si="0"/>
        <v>6</v>
      </c>
      <c r="B7" s="1">
        <v>185</v>
      </c>
      <c r="C7" s="24" t="s">
        <v>73</v>
      </c>
      <c r="D7" s="24" t="s">
        <v>13</v>
      </c>
      <c r="E7" s="4">
        <v>22.88</v>
      </c>
      <c r="F7" s="21">
        <f t="shared" si="1"/>
        <v>343</v>
      </c>
      <c r="G7" s="25">
        <v>13.2</v>
      </c>
      <c r="H7" s="22">
        <f t="shared" si="2"/>
        <v>652</v>
      </c>
      <c r="I7" s="4">
        <v>3.85</v>
      </c>
      <c r="J7" s="21">
        <f t="shared" si="3"/>
        <v>274</v>
      </c>
      <c r="K7" s="4">
        <v>1.34</v>
      </c>
      <c r="L7" s="21">
        <f t="shared" si="4"/>
        <v>449</v>
      </c>
      <c r="M7" s="5">
        <v>2.3032407407407407E-3</v>
      </c>
      <c r="N7" s="21">
        <f t="shared" si="5"/>
        <v>209</v>
      </c>
      <c r="O7" s="20">
        <f t="shared" si="6"/>
        <v>1927</v>
      </c>
    </row>
  </sheetData>
  <sortState xmlns:xlrd2="http://schemas.microsoft.com/office/spreadsheetml/2017/richdata2" ref="B1:O7">
    <sortCondition descending="1" ref="O2:O7"/>
  </sortState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D636-D68D-491D-A52C-1905B4589E0A}">
  <sheetPr>
    <pageSetUpPr fitToPage="1"/>
  </sheetPr>
  <dimension ref="A1:O12"/>
  <sheetViews>
    <sheetView workbookViewId="0">
      <selection activeCell="P1" sqref="P1:P1048576"/>
    </sheetView>
  </sheetViews>
  <sheetFormatPr defaultColWidth="9" defaultRowHeight="14.25" x14ac:dyDescent="0.45"/>
  <cols>
    <col min="1" max="2" width="9" style="23"/>
    <col min="3" max="3" width="22" style="23" customWidth="1"/>
    <col min="4" max="4" width="9.265625" style="23" customWidth="1"/>
    <col min="5" max="16384" width="9" style="23"/>
  </cols>
  <sheetData>
    <row r="1" spans="1:15" x14ac:dyDescent="0.45">
      <c r="A1" s="2" t="s">
        <v>9</v>
      </c>
      <c r="B1" s="8" t="s">
        <v>12</v>
      </c>
      <c r="C1" s="8" t="s">
        <v>10</v>
      </c>
      <c r="D1" s="8" t="s">
        <v>11</v>
      </c>
      <c r="E1" s="8" t="s">
        <v>0</v>
      </c>
      <c r="F1" s="2" t="s">
        <v>7</v>
      </c>
      <c r="G1" s="8" t="s">
        <v>4</v>
      </c>
      <c r="H1" s="2" t="s">
        <v>7</v>
      </c>
      <c r="I1" s="8" t="s">
        <v>3</v>
      </c>
      <c r="J1" s="2" t="s">
        <v>7</v>
      </c>
      <c r="K1" s="8" t="s">
        <v>2</v>
      </c>
      <c r="L1" s="2" t="s">
        <v>7</v>
      </c>
      <c r="M1" s="8" t="s">
        <v>1</v>
      </c>
      <c r="N1" s="2" t="s">
        <v>7</v>
      </c>
      <c r="O1" s="2" t="s">
        <v>8</v>
      </c>
    </row>
    <row r="2" spans="1:15" ht="27" x14ac:dyDescent="0.45">
      <c r="A2" s="2">
        <f t="shared" ref="A2:A12" si="0">RANK($O2,$O$2:$O$12)</f>
        <v>1</v>
      </c>
      <c r="B2" s="1">
        <v>137</v>
      </c>
      <c r="C2" s="26" t="s">
        <v>22</v>
      </c>
      <c r="D2" s="26" t="s">
        <v>17</v>
      </c>
      <c r="E2" s="25">
        <v>12</v>
      </c>
      <c r="F2" s="22">
        <f t="shared" ref="F2:F12" si="1">IF(E2="","",INT(19367.3/(E2+0.995)-815.117))</f>
        <v>675</v>
      </c>
      <c r="G2" s="4">
        <v>7.9</v>
      </c>
      <c r="H2" s="12">
        <v>393</v>
      </c>
      <c r="I2" s="4">
        <v>1.58</v>
      </c>
      <c r="J2" s="12">
        <v>712</v>
      </c>
      <c r="K2" s="4">
        <v>5.13</v>
      </c>
      <c r="L2" s="12">
        <v>595</v>
      </c>
      <c r="M2" s="5">
        <v>1.7824074074074075E-3</v>
      </c>
      <c r="N2" s="13">
        <v>644</v>
      </c>
      <c r="O2" s="10">
        <f t="shared" ref="O2:O12" si="2">SUM(F2,N2,L2,J2,H2)</f>
        <v>3019</v>
      </c>
    </row>
    <row r="3" spans="1:15" x14ac:dyDescent="0.35">
      <c r="A3" s="2">
        <f t="shared" si="0"/>
        <v>2</v>
      </c>
      <c r="B3" s="1">
        <v>140</v>
      </c>
      <c r="C3" s="24" t="s">
        <v>58</v>
      </c>
      <c r="D3" s="24" t="s">
        <v>13</v>
      </c>
      <c r="E3" s="25">
        <v>13.5</v>
      </c>
      <c r="F3" s="22">
        <f t="shared" si="1"/>
        <v>521</v>
      </c>
      <c r="G3" s="4">
        <v>6.17</v>
      </c>
      <c r="H3" s="12">
        <v>282</v>
      </c>
      <c r="I3" s="4">
        <v>1.37</v>
      </c>
      <c r="J3" s="12">
        <v>481</v>
      </c>
      <c r="K3" s="4">
        <v>4.54</v>
      </c>
      <c r="L3" s="12">
        <v>438</v>
      </c>
      <c r="M3" s="5">
        <v>1.7430555555555554E-3</v>
      </c>
      <c r="N3" s="13">
        <v>685</v>
      </c>
      <c r="O3" s="10">
        <f t="shared" si="2"/>
        <v>2407</v>
      </c>
    </row>
    <row r="4" spans="1:15" x14ac:dyDescent="0.35">
      <c r="A4" s="2">
        <f t="shared" si="0"/>
        <v>3</v>
      </c>
      <c r="B4" s="1">
        <v>139</v>
      </c>
      <c r="C4" s="24" t="s">
        <v>57</v>
      </c>
      <c r="D4" s="24" t="s">
        <v>13</v>
      </c>
      <c r="E4" s="25">
        <v>12.5</v>
      </c>
      <c r="F4" s="22">
        <f t="shared" si="1"/>
        <v>620</v>
      </c>
      <c r="G4" s="4">
        <v>6.4</v>
      </c>
      <c r="H4" s="12">
        <v>297</v>
      </c>
      <c r="I4" s="4">
        <v>1.4</v>
      </c>
      <c r="J4" s="12">
        <v>512</v>
      </c>
      <c r="K4" s="4">
        <v>4.5</v>
      </c>
      <c r="L4" s="12">
        <v>428</v>
      </c>
      <c r="M4" s="5">
        <v>1.8946759259259257E-3</v>
      </c>
      <c r="N4" s="13">
        <v>531</v>
      </c>
      <c r="O4" s="10">
        <f t="shared" si="2"/>
        <v>2388</v>
      </c>
    </row>
    <row r="5" spans="1:15" x14ac:dyDescent="0.35">
      <c r="A5" s="2">
        <f t="shared" si="0"/>
        <v>4</v>
      </c>
      <c r="B5" s="1">
        <v>130</v>
      </c>
      <c r="C5" s="24" t="s">
        <v>31</v>
      </c>
      <c r="D5" s="24" t="s">
        <v>13</v>
      </c>
      <c r="E5" s="25">
        <v>13.1</v>
      </c>
      <c r="F5" s="22">
        <f t="shared" si="1"/>
        <v>558</v>
      </c>
      <c r="G5" s="4">
        <v>7.09</v>
      </c>
      <c r="H5" s="12">
        <v>341</v>
      </c>
      <c r="I5" s="4">
        <v>1.55</v>
      </c>
      <c r="J5" s="12">
        <v>678</v>
      </c>
      <c r="K5" s="4">
        <v>4.07</v>
      </c>
      <c r="L5" s="12">
        <v>324</v>
      </c>
      <c r="M5" s="5">
        <v>1.991898148148148E-3</v>
      </c>
      <c r="N5" s="13">
        <v>442</v>
      </c>
      <c r="O5" s="10">
        <f t="shared" si="2"/>
        <v>2343</v>
      </c>
    </row>
    <row r="6" spans="1:15" x14ac:dyDescent="0.35">
      <c r="A6" s="2">
        <f t="shared" si="0"/>
        <v>5</v>
      </c>
      <c r="B6" s="1">
        <v>134</v>
      </c>
      <c r="C6" s="24" t="s">
        <v>20</v>
      </c>
      <c r="D6" s="24" t="s">
        <v>13</v>
      </c>
      <c r="E6" s="25">
        <v>12.3</v>
      </c>
      <c r="F6" s="22">
        <f t="shared" si="1"/>
        <v>641</v>
      </c>
      <c r="G6" s="4">
        <v>7.24</v>
      </c>
      <c r="H6" s="12">
        <v>350</v>
      </c>
      <c r="I6" s="4">
        <v>1.37</v>
      </c>
      <c r="J6" s="12">
        <v>481</v>
      </c>
      <c r="K6" s="4">
        <v>4.21</v>
      </c>
      <c r="L6" s="12">
        <v>357</v>
      </c>
      <c r="M6" s="5">
        <v>2.0347222222222225E-3</v>
      </c>
      <c r="N6" s="13">
        <v>405</v>
      </c>
      <c r="O6" s="10">
        <f t="shared" si="2"/>
        <v>2234</v>
      </c>
    </row>
    <row r="7" spans="1:15" x14ac:dyDescent="0.35">
      <c r="A7" s="2">
        <f t="shared" si="0"/>
        <v>6</v>
      </c>
      <c r="B7" s="1">
        <v>131</v>
      </c>
      <c r="C7" s="24" t="s">
        <v>54</v>
      </c>
      <c r="D7" s="24" t="s">
        <v>13</v>
      </c>
      <c r="E7" s="25">
        <v>14.2</v>
      </c>
      <c r="F7" s="22">
        <f t="shared" si="1"/>
        <v>459</v>
      </c>
      <c r="G7" s="4">
        <v>5.81</v>
      </c>
      <c r="H7" s="12">
        <v>259</v>
      </c>
      <c r="I7" s="4">
        <v>1.28</v>
      </c>
      <c r="J7" s="12">
        <v>389</v>
      </c>
      <c r="K7" s="4">
        <v>4.55</v>
      </c>
      <c r="L7" s="12">
        <v>441</v>
      </c>
      <c r="M7" s="5">
        <v>1.8043981481481483E-3</v>
      </c>
      <c r="N7" s="13">
        <v>621</v>
      </c>
      <c r="O7" s="10">
        <f t="shared" si="2"/>
        <v>2169</v>
      </c>
    </row>
    <row r="8" spans="1:15" x14ac:dyDescent="0.35">
      <c r="A8" s="2">
        <f t="shared" si="0"/>
        <v>7</v>
      </c>
      <c r="B8" s="1">
        <v>136</v>
      </c>
      <c r="C8" s="24" t="s">
        <v>35</v>
      </c>
      <c r="D8" s="24" t="s">
        <v>13</v>
      </c>
      <c r="E8" s="25">
        <v>13</v>
      </c>
      <c r="F8" s="22">
        <f t="shared" si="1"/>
        <v>568</v>
      </c>
      <c r="G8" s="4">
        <v>6.38</v>
      </c>
      <c r="H8" s="12">
        <v>295</v>
      </c>
      <c r="I8" s="4">
        <v>1.31</v>
      </c>
      <c r="J8" s="12">
        <v>419</v>
      </c>
      <c r="K8" s="4">
        <v>4.17</v>
      </c>
      <c r="L8" s="12">
        <v>347</v>
      </c>
      <c r="M8" s="5">
        <v>2.1180555555555558E-3</v>
      </c>
      <c r="N8" s="13">
        <v>338</v>
      </c>
      <c r="O8" s="10">
        <f t="shared" si="2"/>
        <v>1967</v>
      </c>
    </row>
    <row r="9" spans="1:15" x14ac:dyDescent="0.35">
      <c r="A9" s="2">
        <f t="shared" si="0"/>
        <v>8</v>
      </c>
      <c r="B9" s="1">
        <v>133</v>
      </c>
      <c r="C9" s="24" t="s">
        <v>32</v>
      </c>
      <c r="D9" s="24" t="s">
        <v>13</v>
      </c>
      <c r="E9" s="25">
        <v>13.4</v>
      </c>
      <c r="F9" s="22">
        <f t="shared" si="1"/>
        <v>530</v>
      </c>
      <c r="G9" s="4">
        <v>4.95</v>
      </c>
      <c r="H9" s="12">
        <v>205</v>
      </c>
      <c r="I9" s="4">
        <v>1.25</v>
      </c>
      <c r="J9" s="12">
        <v>359</v>
      </c>
      <c r="K9" s="4">
        <v>4.01</v>
      </c>
      <c r="L9" s="12">
        <v>310</v>
      </c>
      <c r="M9" s="5">
        <v>2.1655092592592594E-3</v>
      </c>
      <c r="N9" s="13">
        <v>302</v>
      </c>
      <c r="O9" s="10">
        <f t="shared" si="2"/>
        <v>1706</v>
      </c>
    </row>
    <row r="10" spans="1:15" x14ac:dyDescent="0.35">
      <c r="A10" s="2">
        <f t="shared" si="0"/>
        <v>9</v>
      </c>
      <c r="B10" s="1">
        <v>138</v>
      </c>
      <c r="C10" s="24" t="s">
        <v>56</v>
      </c>
      <c r="D10" s="24" t="s">
        <v>13</v>
      </c>
      <c r="E10" s="25">
        <v>14.7</v>
      </c>
      <c r="F10" s="22">
        <f t="shared" si="1"/>
        <v>418</v>
      </c>
      <c r="G10" s="4">
        <v>5.79</v>
      </c>
      <c r="H10" s="12">
        <v>258</v>
      </c>
      <c r="I10" s="4">
        <v>1.28</v>
      </c>
      <c r="J10" s="12">
        <v>389</v>
      </c>
      <c r="K10" s="4">
        <v>3.37</v>
      </c>
      <c r="L10" s="12">
        <v>174</v>
      </c>
      <c r="M10" s="5">
        <v>2.0497685185185185E-3</v>
      </c>
      <c r="N10" s="13">
        <v>393</v>
      </c>
      <c r="O10" s="10">
        <f t="shared" si="2"/>
        <v>1632</v>
      </c>
    </row>
    <row r="11" spans="1:15" x14ac:dyDescent="0.35">
      <c r="A11" s="2">
        <f t="shared" si="0"/>
        <v>10</v>
      </c>
      <c r="B11" s="1">
        <v>132</v>
      </c>
      <c r="C11" s="24" t="s">
        <v>55</v>
      </c>
      <c r="D11" s="24" t="s">
        <v>13</v>
      </c>
      <c r="E11" s="25">
        <v>16.600000000000001</v>
      </c>
      <c r="F11" s="22">
        <f t="shared" si="1"/>
        <v>285</v>
      </c>
      <c r="G11" s="4">
        <v>6.62</v>
      </c>
      <c r="H11" s="12">
        <v>311</v>
      </c>
      <c r="I11" s="4">
        <v>1.1599999999999999</v>
      </c>
      <c r="J11" s="12">
        <v>275</v>
      </c>
      <c r="K11" s="4">
        <v>3.5</v>
      </c>
      <c r="L11" s="12">
        <v>200</v>
      </c>
      <c r="M11" s="5">
        <v>2.1608796296296293E-3</v>
      </c>
      <c r="N11" s="13">
        <v>305</v>
      </c>
      <c r="O11" s="10">
        <f t="shared" si="2"/>
        <v>1376</v>
      </c>
    </row>
    <row r="12" spans="1:15" x14ac:dyDescent="0.35">
      <c r="A12" s="2">
        <f t="shared" si="0"/>
        <v>11</v>
      </c>
      <c r="B12" s="1">
        <v>135</v>
      </c>
      <c r="C12" s="24" t="s">
        <v>34</v>
      </c>
      <c r="D12" s="24" t="s">
        <v>13</v>
      </c>
      <c r="E12" s="25">
        <v>20.3</v>
      </c>
      <c r="F12" s="22">
        <f t="shared" si="1"/>
        <v>94</v>
      </c>
      <c r="G12" s="4">
        <v>3.03</v>
      </c>
      <c r="H12" s="12">
        <v>87</v>
      </c>
      <c r="I12" s="4" t="s">
        <v>78</v>
      </c>
      <c r="J12" s="12">
        <v>0</v>
      </c>
      <c r="K12" s="4">
        <v>3.09</v>
      </c>
      <c r="L12" s="12">
        <v>122</v>
      </c>
      <c r="M12" s="5">
        <v>1.8217592592592593E-3</v>
      </c>
      <c r="N12" s="13">
        <v>603</v>
      </c>
      <c r="O12" s="10">
        <f t="shared" si="2"/>
        <v>906</v>
      </c>
    </row>
  </sheetData>
  <sortState xmlns:xlrd2="http://schemas.microsoft.com/office/spreadsheetml/2017/richdata2" ref="A2:O12">
    <sortCondition descending="1" ref="O2:O12"/>
  </sortState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AAAC-1A27-47B1-8E10-B75FE7379340}">
  <sheetPr>
    <pageSetUpPr fitToPage="1"/>
  </sheetPr>
  <dimension ref="A1:P14"/>
  <sheetViews>
    <sheetView tabSelected="1" workbookViewId="0">
      <selection activeCell="I21" sqref="I21"/>
    </sheetView>
  </sheetViews>
  <sheetFormatPr defaultColWidth="9" defaultRowHeight="14.25" x14ac:dyDescent="0.45"/>
  <cols>
    <col min="1" max="2" width="9" style="23"/>
    <col min="3" max="3" width="21.3984375" style="23" bestFit="1" customWidth="1"/>
    <col min="4" max="4" width="11.1328125" style="23" bestFit="1" customWidth="1"/>
    <col min="5" max="13" width="9" style="23"/>
    <col min="14" max="14" width="0.3984375" style="23" customWidth="1"/>
    <col min="15" max="15" width="9" style="23" hidden="1" customWidth="1"/>
    <col min="16" max="16384" width="9" style="23"/>
  </cols>
  <sheetData>
    <row r="1" spans="1:13" ht="41.65" customHeight="1" x14ac:dyDescent="0.45">
      <c r="A1" s="2" t="s">
        <v>9</v>
      </c>
      <c r="B1" s="8" t="s">
        <v>12</v>
      </c>
      <c r="C1" s="8" t="s">
        <v>10</v>
      </c>
      <c r="D1" s="8" t="s">
        <v>11</v>
      </c>
      <c r="E1" s="8" t="s">
        <v>0</v>
      </c>
      <c r="F1" s="2" t="s">
        <v>7</v>
      </c>
      <c r="G1" s="8" t="s">
        <v>2</v>
      </c>
      <c r="H1" s="2" t="s">
        <v>7</v>
      </c>
      <c r="I1" s="8" t="s">
        <v>4</v>
      </c>
      <c r="J1" s="2" t="s">
        <v>7</v>
      </c>
      <c r="K1" s="8" t="s">
        <v>1</v>
      </c>
      <c r="L1" s="2" t="s">
        <v>7</v>
      </c>
      <c r="M1" s="2" t="s">
        <v>8</v>
      </c>
    </row>
    <row r="2" spans="1:13" ht="20.100000000000001" customHeight="1" x14ac:dyDescent="0.35">
      <c r="A2" s="2">
        <f t="shared" ref="A2:A13" si="0">RANK($M2,$M$2:$M$14)</f>
        <v>1</v>
      </c>
      <c r="B2" s="1">
        <v>112</v>
      </c>
      <c r="C2" s="24" t="s">
        <v>45</v>
      </c>
      <c r="D2" s="24" t="s">
        <v>13</v>
      </c>
      <c r="E2" s="25">
        <v>12.7</v>
      </c>
      <c r="F2" s="22">
        <f t="shared" ref="F2:F14" si="1">IF(E2="","",INT(19367.3/(E2+1.995)-815.117))</f>
        <v>502</v>
      </c>
      <c r="G2" s="4">
        <v>4.0999999999999996</v>
      </c>
      <c r="H2" s="12">
        <v>331</v>
      </c>
      <c r="I2" s="4">
        <v>5.2</v>
      </c>
      <c r="J2" s="12">
        <f t="shared" ref="J2:J14" si="2">IF(I2=0,0,ROUNDDOWN(51.39*(I2-1.5)^1.05,0))</f>
        <v>202</v>
      </c>
      <c r="K2" s="5">
        <v>1.6979166666666666E-3</v>
      </c>
      <c r="L2" s="13">
        <v>735</v>
      </c>
      <c r="M2" s="10">
        <f t="shared" ref="M2:M14" si="3">SUM(F2,L2,H2,J2)</f>
        <v>1770</v>
      </c>
    </row>
    <row r="3" spans="1:13" ht="20.100000000000001" customHeight="1" x14ac:dyDescent="0.35">
      <c r="A3" s="2">
        <f t="shared" si="0"/>
        <v>2</v>
      </c>
      <c r="B3" s="1">
        <v>109</v>
      </c>
      <c r="C3" s="24" t="s">
        <v>33</v>
      </c>
      <c r="D3" s="24" t="s">
        <v>15</v>
      </c>
      <c r="E3" s="25">
        <v>12.6</v>
      </c>
      <c r="F3" s="22">
        <f t="shared" si="1"/>
        <v>511</v>
      </c>
      <c r="G3" s="4">
        <v>3.97</v>
      </c>
      <c r="H3" s="12">
        <v>301</v>
      </c>
      <c r="I3" s="4">
        <v>7.46</v>
      </c>
      <c r="J3" s="12">
        <f t="shared" si="2"/>
        <v>334</v>
      </c>
      <c r="K3" s="5">
        <v>1.8530092592592591E-3</v>
      </c>
      <c r="L3" s="13">
        <v>572</v>
      </c>
      <c r="M3" s="10">
        <f t="shared" si="3"/>
        <v>1718</v>
      </c>
    </row>
    <row r="4" spans="1:13" ht="20.100000000000001" customHeight="1" x14ac:dyDescent="0.35">
      <c r="A4" s="2">
        <f t="shared" si="0"/>
        <v>3</v>
      </c>
      <c r="B4" s="1">
        <v>111</v>
      </c>
      <c r="C4" s="24" t="s">
        <v>44</v>
      </c>
      <c r="D4" s="24" t="s">
        <v>18</v>
      </c>
      <c r="E4" s="25">
        <v>13.6</v>
      </c>
      <c r="F4" s="22">
        <f t="shared" si="1"/>
        <v>426</v>
      </c>
      <c r="G4" s="4">
        <v>4.37</v>
      </c>
      <c r="H4" s="12">
        <v>396</v>
      </c>
      <c r="I4" s="4">
        <v>7.12</v>
      </c>
      <c r="J4" s="12">
        <f t="shared" si="2"/>
        <v>314</v>
      </c>
      <c r="K4" s="5">
        <v>1.8449074074074075E-3</v>
      </c>
      <c r="L4" s="13">
        <v>580</v>
      </c>
      <c r="M4" s="10">
        <f t="shared" si="3"/>
        <v>1716</v>
      </c>
    </row>
    <row r="5" spans="1:13" ht="20.100000000000001" customHeight="1" x14ac:dyDescent="0.35">
      <c r="A5" s="2">
        <f t="shared" si="0"/>
        <v>4</v>
      </c>
      <c r="B5" s="1">
        <v>107</v>
      </c>
      <c r="C5" s="24" t="s">
        <v>42</v>
      </c>
      <c r="D5" s="24" t="s">
        <v>13</v>
      </c>
      <c r="E5" s="25">
        <v>12.7</v>
      </c>
      <c r="F5" s="22">
        <f t="shared" si="1"/>
        <v>502</v>
      </c>
      <c r="G5" s="4">
        <v>4.09</v>
      </c>
      <c r="H5" s="12">
        <v>329</v>
      </c>
      <c r="I5" s="4">
        <v>5.7</v>
      </c>
      <c r="J5" s="12">
        <f t="shared" si="2"/>
        <v>231</v>
      </c>
      <c r="K5" s="5">
        <v>1.8182870370370369E-3</v>
      </c>
      <c r="L5" s="13">
        <v>607</v>
      </c>
      <c r="M5" s="10">
        <f t="shared" si="3"/>
        <v>1669</v>
      </c>
    </row>
    <row r="6" spans="1:13" ht="20.100000000000001" customHeight="1" x14ac:dyDescent="0.35">
      <c r="A6" s="2">
        <f t="shared" si="0"/>
        <v>5</v>
      </c>
      <c r="B6" s="1">
        <v>106</v>
      </c>
      <c r="C6" s="24" t="s">
        <v>41</v>
      </c>
      <c r="D6" s="24" t="s">
        <v>29</v>
      </c>
      <c r="E6" s="25">
        <v>12.9</v>
      </c>
      <c r="F6" s="22">
        <f t="shared" si="1"/>
        <v>485</v>
      </c>
      <c r="G6" s="4">
        <v>3.86</v>
      </c>
      <c r="H6" s="12">
        <v>276</v>
      </c>
      <c r="I6" s="4">
        <v>5.01</v>
      </c>
      <c r="J6" s="12">
        <f t="shared" si="2"/>
        <v>192</v>
      </c>
      <c r="K6" s="5">
        <v>1.9814814814814812E-3</v>
      </c>
      <c r="L6" s="13">
        <v>451</v>
      </c>
      <c r="M6" s="10">
        <f t="shared" si="3"/>
        <v>1404</v>
      </c>
    </row>
    <row r="7" spans="1:13" ht="20.100000000000001" customHeight="1" x14ac:dyDescent="0.35">
      <c r="A7" s="2">
        <f t="shared" si="0"/>
        <v>6</v>
      </c>
      <c r="B7" s="1">
        <v>114</v>
      </c>
      <c r="C7" s="24" t="s">
        <v>47</v>
      </c>
      <c r="D7" s="24" t="s">
        <v>13</v>
      </c>
      <c r="E7" s="25">
        <v>16.100000000000001</v>
      </c>
      <c r="F7" s="22">
        <f t="shared" si="1"/>
        <v>255</v>
      </c>
      <c r="G7" s="4">
        <v>3.7</v>
      </c>
      <c r="H7" s="12">
        <v>242</v>
      </c>
      <c r="I7" s="4">
        <v>6.29</v>
      </c>
      <c r="J7" s="12">
        <f t="shared" si="2"/>
        <v>266</v>
      </c>
      <c r="K7" s="5">
        <v>2.1076388888888889E-3</v>
      </c>
      <c r="L7" s="13">
        <v>347</v>
      </c>
      <c r="M7" s="10">
        <f t="shared" si="3"/>
        <v>1110</v>
      </c>
    </row>
    <row r="8" spans="1:13" ht="20.100000000000001" customHeight="1" x14ac:dyDescent="0.35">
      <c r="A8" s="2">
        <f t="shared" si="0"/>
        <v>7</v>
      </c>
      <c r="B8" s="1">
        <v>113</v>
      </c>
      <c r="C8" s="24" t="s">
        <v>46</v>
      </c>
      <c r="D8" s="24" t="s">
        <v>13</v>
      </c>
      <c r="E8" s="25">
        <v>14.4</v>
      </c>
      <c r="F8" s="22">
        <f t="shared" si="1"/>
        <v>366</v>
      </c>
      <c r="G8" s="4">
        <v>3.71</v>
      </c>
      <c r="H8" s="12">
        <v>244</v>
      </c>
      <c r="I8" s="4">
        <v>5.6</v>
      </c>
      <c r="J8" s="12">
        <f t="shared" si="2"/>
        <v>226</v>
      </c>
      <c r="K8" s="5">
        <v>2.2141203703703706E-3</v>
      </c>
      <c r="L8" s="13">
        <v>267</v>
      </c>
      <c r="M8" s="10">
        <f t="shared" si="3"/>
        <v>1103</v>
      </c>
    </row>
    <row r="9" spans="1:13" ht="20.100000000000001" customHeight="1" x14ac:dyDescent="0.35">
      <c r="A9" s="2">
        <f t="shared" si="0"/>
        <v>8</v>
      </c>
      <c r="B9" s="1">
        <v>102</v>
      </c>
      <c r="C9" s="24" t="s">
        <v>37</v>
      </c>
      <c r="D9" s="24" t="s">
        <v>13</v>
      </c>
      <c r="E9" s="25">
        <v>13.6</v>
      </c>
      <c r="F9" s="22">
        <f t="shared" si="1"/>
        <v>426</v>
      </c>
      <c r="G9" s="4">
        <v>3.12</v>
      </c>
      <c r="H9" s="12">
        <v>128</v>
      </c>
      <c r="I9" s="4">
        <v>6</v>
      </c>
      <c r="J9" s="12">
        <f t="shared" si="2"/>
        <v>249</v>
      </c>
      <c r="K9" s="5">
        <v>2.1909722222222222E-3</v>
      </c>
      <c r="L9" s="13">
        <v>284</v>
      </c>
      <c r="M9" s="10">
        <f t="shared" si="3"/>
        <v>1087</v>
      </c>
    </row>
    <row r="10" spans="1:13" ht="20.100000000000001" customHeight="1" x14ac:dyDescent="0.35">
      <c r="A10" s="2">
        <f t="shared" si="0"/>
        <v>9</v>
      </c>
      <c r="B10" s="1">
        <v>101</v>
      </c>
      <c r="C10" s="24" t="s">
        <v>36</v>
      </c>
      <c r="D10" s="24" t="s">
        <v>29</v>
      </c>
      <c r="E10" s="25">
        <v>14.9</v>
      </c>
      <c r="F10" s="22">
        <f t="shared" si="1"/>
        <v>331</v>
      </c>
      <c r="G10" s="4">
        <v>3.32</v>
      </c>
      <c r="H10" s="12">
        <v>165</v>
      </c>
      <c r="I10" s="4">
        <v>7.02</v>
      </c>
      <c r="J10" s="12">
        <f t="shared" si="2"/>
        <v>308</v>
      </c>
      <c r="K10" s="5">
        <v>2.2060185185185186E-3</v>
      </c>
      <c r="L10" s="13">
        <v>273</v>
      </c>
      <c r="M10" s="10">
        <f t="shared" si="3"/>
        <v>1077</v>
      </c>
    </row>
    <row r="11" spans="1:13" ht="20.100000000000001" customHeight="1" x14ac:dyDescent="0.35">
      <c r="A11" s="2">
        <f t="shared" si="0"/>
        <v>10</v>
      </c>
      <c r="B11" s="1">
        <v>105</v>
      </c>
      <c r="C11" s="24" t="s">
        <v>40</v>
      </c>
      <c r="D11" s="24" t="s">
        <v>13</v>
      </c>
      <c r="E11" s="25">
        <v>14.1</v>
      </c>
      <c r="F11" s="22">
        <f t="shared" si="1"/>
        <v>388</v>
      </c>
      <c r="G11" s="4">
        <v>3.52</v>
      </c>
      <c r="H11" s="12">
        <v>204</v>
      </c>
      <c r="I11" s="4">
        <v>4.8099999999999996</v>
      </c>
      <c r="J11" s="12">
        <f t="shared" si="2"/>
        <v>180</v>
      </c>
      <c r="K11" s="5">
        <v>2.3009259259259259E-3</v>
      </c>
      <c r="L11" s="13">
        <v>210</v>
      </c>
      <c r="M11" s="10">
        <f t="shared" si="3"/>
        <v>982</v>
      </c>
    </row>
    <row r="12" spans="1:13" ht="20.100000000000001" customHeight="1" x14ac:dyDescent="0.35">
      <c r="A12" s="2">
        <f t="shared" si="0"/>
        <v>11</v>
      </c>
      <c r="B12" s="1">
        <v>103</v>
      </c>
      <c r="C12" s="24" t="s">
        <v>38</v>
      </c>
      <c r="D12" s="24" t="s">
        <v>13</v>
      </c>
      <c r="E12" s="25">
        <v>15.3</v>
      </c>
      <c r="F12" s="22">
        <f t="shared" si="1"/>
        <v>304</v>
      </c>
      <c r="G12" s="4">
        <v>3.17</v>
      </c>
      <c r="H12" s="12">
        <v>137</v>
      </c>
      <c r="I12" s="4">
        <v>4.76</v>
      </c>
      <c r="J12" s="12">
        <f t="shared" si="2"/>
        <v>177</v>
      </c>
      <c r="K12" s="5">
        <v>2.1342592592592594E-3</v>
      </c>
      <c r="L12" s="13">
        <v>325</v>
      </c>
      <c r="M12" s="10">
        <f t="shared" si="3"/>
        <v>943</v>
      </c>
    </row>
    <row r="13" spans="1:13" ht="20.100000000000001" customHeight="1" x14ac:dyDescent="0.35">
      <c r="A13" s="2">
        <f t="shared" si="0"/>
        <v>12</v>
      </c>
      <c r="B13" s="1">
        <v>104</v>
      </c>
      <c r="C13" s="24" t="s">
        <v>39</v>
      </c>
      <c r="D13" s="24" t="s">
        <v>13</v>
      </c>
      <c r="E13" s="25">
        <v>13.8</v>
      </c>
      <c r="F13" s="22">
        <f t="shared" si="1"/>
        <v>411</v>
      </c>
      <c r="G13" s="4">
        <v>3.33</v>
      </c>
      <c r="H13" s="12">
        <v>167</v>
      </c>
      <c r="I13" s="4">
        <v>4.3899999999999997</v>
      </c>
      <c r="J13" s="12">
        <f t="shared" si="2"/>
        <v>156</v>
      </c>
      <c r="K13" s="5">
        <v>2.4467592592592592E-3</v>
      </c>
      <c r="L13" s="13">
        <v>129</v>
      </c>
      <c r="M13" s="10">
        <f t="shared" si="3"/>
        <v>863</v>
      </c>
    </row>
    <row r="14" spans="1:13" ht="20.100000000000001" customHeight="1" x14ac:dyDescent="0.35">
      <c r="A14" s="2" t="s">
        <v>80</v>
      </c>
      <c r="B14" s="1">
        <v>108</v>
      </c>
      <c r="C14" s="24" t="s">
        <v>43</v>
      </c>
      <c r="D14" s="24" t="s">
        <v>13</v>
      </c>
      <c r="E14" s="25">
        <v>18.600000000000001</v>
      </c>
      <c r="F14" s="22">
        <f t="shared" si="1"/>
        <v>125</v>
      </c>
      <c r="G14" s="4">
        <v>2.97</v>
      </c>
      <c r="H14" s="12">
        <v>102</v>
      </c>
      <c r="I14" s="4">
        <v>5.28</v>
      </c>
      <c r="J14" s="12">
        <f t="shared" si="2"/>
        <v>207</v>
      </c>
      <c r="K14" s="5" t="s">
        <v>79</v>
      </c>
      <c r="L14" s="13">
        <v>0</v>
      </c>
      <c r="M14" s="10">
        <f t="shared" si="3"/>
        <v>434</v>
      </c>
    </row>
  </sheetData>
  <sortState xmlns:xlrd2="http://schemas.microsoft.com/office/spreadsheetml/2017/richdata2" ref="A2:M14">
    <sortCondition descending="1" ref="M2:M14"/>
  </sortState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U17 Boys</vt:lpstr>
      <vt:lpstr>U15 Boys</vt:lpstr>
      <vt:lpstr>U13 Boys</vt:lpstr>
      <vt:lpstr>U17 Girls</vt:lpstr>
      <vt:lpstr>U15 Girls</vt:lpstr>
      <vt:lpstr>U13 Girls</vt:lpstr>
    </vt:vector>
  </TitlesOfParts>
  <Company>Alpha Plus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Kidd</dc:creator>
  <cp:lastModifiedBy>James Kidd</cp:lastModifiedBy>
  <cp:lastPrinted>2024-05-29T15:40:28Z</cp:lastPrinted>
  <dcterms:created xsi:type="dcterms:W3CDTF">2023-04-05T13:37:41Z</dcterms:created>
  <dcterms:modified xsi:type="dcterms:W3CDTF">2024-05-29T18:55:14Z</dcterms:modified>
</cp:coreProperties>
</file>